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6" windowWidth="22116" windowHeight="9552" activeTab="3"/>
  </bookViews>
  <sheets>
    <sheet name="Tableau - de 24" sheetId="1" r:id="rId1"/>
    <sheet name="tableau plus de 24" sheetId="2" r:id="rId2"/>
    <sheet name="Tableau Demies direct" sheetId="4" r:id="rId3"/>
    <sheet name="TEST" sheetId="3" r:id="rId4"/>
    <sheet name="Feuil2" sheetId="5" r:id="rId5"/>
  </sheets>
  <definedNames>
    <definedName name="_xlnm._FilterDatabase" localSheetId="0" hidden="1">'Tableau - de 24'!$A$1:$A$33</definedName>
    <definedName name="ORANGE">'Tableau - de 24'!$B$34</definedName>
  </definedNames>
  <calcPr calcId="145621"/>
</workbook>
</file>

<file path=xl/calcChain.xml><?xml version="1.0" encoding="utf-8"?>
<calcChain xmlns="http://schemas.openxmlformats.org/spreadsheetml/2006/main">
  <c r="E26" i="3" l="1"/>
  <c r="F26" i="3" s="1"/>
  <c r="F25" i="3"/>
  <c r="E25" i="3"/>
  <c r="E24" i="3"/>
  <c r="F24" i="3" s="1"/>
  <c r="I23" i="3"/>
  <c r="J23" i="3" s="1"/>
  <c r="E23" i="3"/>
  <c r="F23" i="3" s="1"/>
  <c r="I21" i="3"/>
  <c r="L16" i="3" s="1"/>
  <c r="M16" i="3" s="1"/>
  <c r="E20" i="3"/>
  <c r="F20" i="3" s="1"/>
  <c r="F19" i="3"/>
  <c r="E19" i="3"/>
  <c r="E18" i="3"/>
  <c r="F18" i="3" s="1"/>
  <c r="E17" i="3"/>
  <c r="F17" i="3" s="1"/>
  <c r="E14" i="3"/>
  <c r="F14" i="3" s="1"/>
  <c r="F13" i="3"/>
  <c r="E13" i="3"/>
  <c r="E12" i="3"/>
  <c r="I10" i="3" s="1"/>
  <c r="E11" i="3"/>
  <c r="F11" i="3" s="1"/>
  <c r="I9" i="3"/>
  <c r="J9" i="3" s="1"/>
  <c r="I8" i="3"/>
  <c r="L14" i="3" s="1"/>
  <c r="M14" i="3" s="1"/>
  <c r="E8" i="3"/>
  <c r="F8" i="3" s="1"/>
  <c r="F7" i="3"/>
  <c r="E7" i="3"/>
  <c r="E6" i="3"/>
  <c r="F6" i="3" s="1"/>
  <c r="E5" i="3"/>
  <c r="F5" i="3" s="1"/>
  <c r="J8" i="3" l="1"/>
  <c r="J10" i="3"/>
  <c r="L15" i="3"/>
  <c r="M15" i="3" s="1"/>
  <c r="I11" i="3"/>
  <c r="J11" i="3" s="1"/>
  <c r="I20" i="3"/>
  <c r="J20" i="3" s="1"/>
  <c r="F12" i="3"/>
  <c r="J21" i="3"/>
  <c r="I22" i="3"/>
  <c r="H11" i="4"/>
  <c r="I11" i="4" s="1"/>
  <c r="H10" i="4"/>
  <c r="I10" i="4" s="1"/>
  <c r="H9" i="4"/>
  <c r="I9" i="4" s="1"/>
  <c r="H8" i="4"/>
  <c r="I8" i="4" s="1"/>
  <c r="E7" i="4"/>
  <c r="F7" i="4" s="1"/>
  <c r="E8" i="4"/>
  <c r="E14" i="4"/>
  <c r="F14" i="4" s="1"/>
  <c r="E13" i="4"/>
  <c r="F13" i="4" s="1"/>
  <c r="E12" i="4"/>
  <c r="F12" i="4" s="1"/>
  <c r="E11" i="4"/>
  <c r="F11" i="4" s="1"/>
  <c r="E6" i="4"/>
  <c r="F6" i="4" s="1"/>
  <c r="E5" i="4"/>
  <c r="F8" i="4"/>
  <c r="F5" i="4"/>
  <c r="L17" i="3" l="1"/>
  <c r="M17" i="3" s="1"/>
  <c r="J22" i="3"/>
  <c r="F50" i="2"/>
  <c r="F49" i="2"/>
  <c r="F48" i="2"/>
  <c r="F47" i="2"/>
  <c r="F44" i="2"/>
  <c r="F43" i="2"/>
  <c r="F42" i="2"/>
  <c r="F41" i="2"/>
  <c r="F38" i="2"/>
  <c r="F37" i="2"/>
  <c r="F36" i="2"/>
  <c r="F35" i="2"/>
  <c r="F32" i="2"/>
  <c r="F31" i="2"/>
  <c r="F30" i="2"/>
  <c r="F29" i="2"/>
  <c r="F26" i="2"/>
  <c r="F25" i="2"/>
  <c r="F24" i="2"/>
  <c r="F23" i="2"/>
  <c r="F20" i="2"/>
  <c r="F19" i="2"/>
  <c r="F18" i="2"/>
  <c r="F17" i="2"/>
  <c r="F14" i="2"/>
  <c r="F13" i="2"/>
  <c r="F12" i="2"/>
  <c r="F11" i="2"/>
  <c r="F8" i="2"/>
  <c r="F7" i="2"/>
  <c r="F6" i="2"/>
  <c r="F5" i="2"/>
  <c r="E26" i="1"/>
  <c r="E25" i="1"/>
  <c r="E24" i="1"/>
  <c r="E23" i="1"/>
  <c r="E20" i="1"/>
  <c r="E19" i="1"/>
  <c r="E18" i="1"/>
  <c r="E17" i="1"/>
  <c r="E14" i="1"/>
  <c r="E12" i="1"/>
  <c r="E11" i="1"/>
  <c r="E8" i="1"/>
  <c r="E7" i="1"/>
  <c r="E6" i="1"/>
  <c r="E13" i="1"/>
  <c r="E5" i="1"/>
  <c r="G50" i="2" l="1"/>
  <c r="G48" i="2"/>
  <c r="G43" i="2"/>
  <c r="G41" i="2"/>
  <c r="G37" i="2"/>
  <c r="G36" i="2"/>
  <c r="G32" i="2"/>
  <c r="G29" i="2"/>
  <c r="G23" i="2"/>
  <c r="G26" i="2"/>
  <c r="G25" i="2"/>
  <c r="G18" i="2"/>
  <c r="G24" i="2"/>
  <c r="G17" i="2"/>
  <c r="J21" i="2"/>
  <c r="K21" i="2" s="1"/>
  <c r="G19" i="2"/>
  <c r="G14" i="2"/>
  <c r="G13" i="2"/>
  <c r="J10" i="2"/>
  <c r="K10" i="2" s="1"/>
  <c r="G11" i="2"/>
  <c r="G8" i="2"/>
  <c r="G5" i="2"/>
  <c r="J9" i="2" l="1"/>
  <c r="N15" i="2" s="1"/>
  <c r="G49" i="2"/>
  <c r="J47" i="2"/>
  <c r="K47" i="2" s="1"/>
  <c r="G38" i="2"/>
  <c r="J35" i="2"/>
  <c r="K35" i="2" s="1"/>
  <c r="G30" i="2"/>
  <c r="J32" i="2"/>
  <c r="G35" i="2"/>
  <c r="J34" i="2"/>
  <c r="G44" i="2"/>
  <c r="J45" i="2"/>
  <c r="G47" i="2"/>
  <c r="J46" i="2"/>
  <c r="K46" i="2" s="1"/>
  <c r="G31" i="2"/>
  <c r="J33" i="2"/>
  <c r="K33" i="2" s="1"/>
  <c r="G42" i="2"/>
  <c r="J44" i="2"/>
  <c r="J8" i="2"/>
  <c r="J23" i="2"/>
  <c r="K23" i="2" s="1"/>
  <c r="G20" i="2"/>
  <c r="G7" i="2"/>
  <c r="J11" i="2"/>
  <c r="K11" i="2" s="1"/>
  <c r="J20" i="2"/>
  <c r="G12" i="2"/>
  <c r="J22" i="2"/>
  <c r="G6" i="2" l="1"/>
  <c r="K9" i="2"/>
  <c r="N41" i="2"/>
  <c r="O41" i="2" s="1"/>
  <c r="K44" i="2"/>
  <c r="K34" i="2"/>
  <c r="N40" i="2"/>
  <c r="O40" i="2" s="1"/>
  <c r="K45" i="2"/>
  <c r="N42" i="2"/>
  <c r="N16" i="2"/>
  <c r="O16" i="2" s="1"/>
  <c r="K20" i="2"/>
  <c r="N39" i="2"/>
  <c r="K32" i="2"/>
  <c r="N17" i="2"/>
  <c r="O17" i="2" s="1"/>
  <c r="K22" i="2"/>
  <c r="K8" i="2"/>
  <c r="N14" i="2"/>
  <c r="O15" i="2"/>
  <c r="Q26" i="2"/>
  <c r="R26" i="2" s="1"/>
  <c r="F5" i="1"/>
  <c r="O42" i="2" l="1"/>
  <c r="Q29" i="2"/>
  <c r="R29" i="2" s="1"/>
  <c r="O39" i="2"/>
  <c r="Q28" i="2"/>
  <c r="R28" i="2" s="1"/>
  <c r="O14" i="2"/>
  <c r="Q27" i="2"/>
  <c r="R27" i="2" s="1"/>
  <c r="F8" i="1"/>
  <c r="F13" i="1"/>
  <c r="F14" i="1"/>
  <c r="F17" i="1"/>
  <c r="F19" i="1"/>
  <c r="F24" i="1"/>
  <c r="F26" i="1"/>
  <c r="I20" i="1" l="1"/>
  <c r="J20" i="1" s="1"/>
  <c r="F18" i="1"/>
  <c r="I23" i="1"/>
  <c r="J23" i="1" s="1"/>
  <c r="F25" i="1"/>
  <c r="I10" i="1"/>
  <c r="J10" i="1" s="1"/>
  <c r="F12" i="1"/>
  <c r="I11" i="1"/>
  <c r="F11" i="1"/>
  <c r="I8" i="1"/>
  <c r="J8" i="1" s="1"/>
  <c r="F7" i="1"/>
  <c r="I9" i="1"/>
  <c r="J9" i="1" s="1"/>
  <c r="F6" i="1"/>
  <c r="I21" i="1"/>
  <c r="F20" i="1"/>
  <c r="I22" i="1"/>
  <c r="J22" i="1" s="1"/>
  <c r="F23" i="1"/>
  <c r="L14" i="1" l="1"/>
  <c r="M14" i="1" s="1"/>
  <c r="L16" i="1"/>
  <c r="M16" i="1" s="1"/>
  <c r="J21" i="1"/>
  <c r="L15" i="1"/>
  <c r="M15" i="1" s="1"/>
  <c r="J11" i="1"/>
  <c r="L17" i="1"/>
  <c r="M17" i="1" s="1"/>
</calcChain>
</file>

<file path=xl/sharedStrings.xml><?xml version="1.0" encoding="utf-8"?>
<sst xmlns="http://schemas.openxmlformats.org/spreadsheetml/2006/main" count="321" uniqueCount="116">
  <si>
    <t>0.01.10</t>
  </si>
  <si>
    <t>0.01.11</t>
  </si>
  <si>
    <t>0.01.12</t>
  </si>
  <si>
    <t>0.01.13</t>
  </si>
  <si>
    <t>0.01.14</t>
  </si>
  <si>
    <t>0.01.15</t>
  </si>
  <si>
    <t>0.01.16</t>
  </si>
  <si>
    <t>0.01.17</t>
  </si>
  <si>
    <t>0.01.18</t>
  </si>
  <si>
    <t>0.01.19</t>
  </si>
  <si>
    <t>0.01.20</t>
  </si>
  <si>
    <t>0.01.21</t>
  </si>
  <si>
    <t>0.01.22</t>
  </si>
  <si>
    <t>0.01.23</t>
  </si>
  <si>
    <t>0.01.24</t>
  </si>
  <si>
    <t>0.01.25</t>
  </si>
  <si>
    <t>0.01.26</t>
  </si>
  <si>
    <t>0.01.27</t>
  </si>
  <si>
    <t>0.01.28</t>
  </si>
  <si>
    <t>0.01.29</t>
  </si>
  <si>
    <t>0.01.30</t>
  </si>
  <si>
    <t>0.01.31</t>
  </si>
  <si>
    <t>0.01.32</t>
  </si>
  <si>
    <t>0.01.33</t>
  </si>
  <si>
    <t>0.01.34</t>
  </si>
  <si>
    <t>0.01.35</t>
  </si>
  <si>
    <t>DELOR</t>
  </si>
  <si>
    <t>DOUC</t>
  </si>
  <si>
    <t>CALOR</t>
  </si>
  <si>
    <t>VEGAN</t>
  </si>
  <si>
    <t>POUL</t>
  </si>
  <si>
    <t>COQ</t>
  </si>
  <si>
    <t xml:space="preserve">OIE </t>
  </si>
  <si>
    <t>ANE</t>
  </si>
  <si>
    <t>CHEVAL</t>
  </si>
  <si>
    <t>MOUETTE</t>
  </si>
  <si>
    <t>PIGEON</t>
  </si>
  <si>
    <t>BOUC</t>
  </si>
  <si>
    <t>VACHE</t>
  </si>
  <si>
    <t>ELEPHANT</t>
  </si>
  <si>
    <t>TIGRE</t>
  </si>
  <si>
    <t>ROUGE</t>
  </si>
  <si>
    <t>BLEU</t>
  </si>
  <si>
    <t>VERT</t>
  </si>
  <si>
    <t>JAUNE</t>
  </si>
  <si>
    <t>CAROTTE</t>
  </si>
  <si>
    <t>POIREAU</t>
  </si>
  <si>
    <t>COURGETTE</t>
  </si>
  <si>
    <t>PERSIL</t>
  </si>
  <si>
    <t>AIL</t>
  </si>
  <si>
    <t>NOMS</t>
  </si>
  <si>
    <t>doss slalom</t>
  </si>
  <si>
    <t>FILOU</t>
  </si>
  <si>
    <t>0.01.36</t>
  </si>
  <si>
    <t>0.01.37</t>
  </si>
  <si>
    <t>0.01.38</t>
  </si>
  <si>
    <t>0.01.39</t>
  </si>
  <si>
    <t>0.01.40</t>
  </si>
  <si>
    <t>0.01.41</t>
  </si>
  <si>
    <t>BERT</t>
  </si>
  <si>
    <t>BOFF</t>
  </si>
  <si>
    <t>GAROU</t>
  </si>
  <si>
    <t>CHOU</t>
  </si>
  <si>
    <t>ORANGE</t>
  </si>
  <si>
    <t>QUARTS DE FINALE</t>
  </si>
  <si>
    <t>COOL</t>
  </si>
  <si>
    <t>QUART 1</t>
  </si>
  <si>
    <t>QUART 2</t>
  </si>
  <si>
    <t>QUART 3</t>
  </si>
  <si>
    <t>QUART 4</t>
  </si>
  <si>
    <t>DEMI FINALES</t>
  </si>
  <si>
    <t>DEMI FINALE 1</t>
  </si>
  <si>
    <t>COLAS</t>
  </si>
  <si>
    <t xml:space="preserve">penser à trier dans l'ordre </t>
  </si>
  <si>
    <t>Résultat 1/2</t>
  </si>
  <si>
    <t>DEMI FINALE 2</t>
  </si>
  <si>
    <t>Résultat FINALE</t>
  </si>
  <si>
    <t>FINALE</t>
  </si>
  <si>
    <t>Résultat 1/4</t>
  </si>
  <si>
    <t>TPS</t>
  </si>
  <si>
    <t>TPS"time trial"</t>
  </si>
  <si>
    <t>Doss ID</t>
  </si>
  <si>
    <t>Place</t>
  </si>
  <si>
    <t>DOSS ID</t>
  </si>
  <si>
    <t>QUALIFICATIONS</t>
  </si>
  <si>
    <t>DEMI FINALE</t>
  </si>
  <si>
    <t>STAFF</t>
  </si>
  <si>
    <t>CHIEN</t>
  </si>
  <si>
    <t>SETTER</t>
  </si>
  <si>
    <t>GOLDEN</t>
  </si>
  <si>
    <t>BERGER</t>
  </si>
  <si>
    <t>CHAT</t>
  </si>
  <si>
    <t>QUALIF  5</t>
  </si>
  <si>
    <t>QUALIF 4</t>
  </si>
  <si>
    <t>Résultat Q5</t>
  </si>
  <si>
    <t>Résultat Q4</t>
  </si>
  <si>
    <t>Résultat Q6</t>
  </si>
  <si>
    <t>QUALIF  6</t>
  </si>
  <si>
    <t>Résultat Q7</t>
  </si>
  <si>
    <t>QUALIF  7</t>
  </si>
  <si>
    <t>Résultat Q8</t>
  </si>
  <si>
    <t>QUALIF  8</t>
  </si>
  <si>
    <t>QUALIF 3</t>
  </si>
  <si>
    <t>QUALIF 2</t>
  </si>
  <si>
    <t>QUALIF 1</t>
  </si>
  <si>
    <t>Résultat Q1</t>
  </si>
  <si>
    <t>Résultat Q2</t>
  </si>
  <si>
    <t>Résultat Q3</t>
  </si>
  <si>
    <t xml:space="preserve">QUART 1 </t>
  </si>
  <si>
    <t>TPS "time trial"</t>
  </si>
  <si>
    <t>POULE</t>
  </si>
  <si>
    <t>PLACE</t>
  </si>
  <si>
    <t>tps trial</t>
  </si>
  <si>
    <t>Doss ID=TPS</t>
  </si>
  <si>
    <t>DEMI FINALE  1</t>
  </si>
  <si>
    <t>BOUBOULE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</si>
</sst>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400]h:mm:ss\ AM/PM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CC66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2" fillId="0" borderId="1" applyFont="0" applyBorder="0" applyAlignment="0"/>
  </cellStyleXfs>
  <cellXfs count="45">
    <xf numFmtId="0" fontId="0" fillId="0" borderId="0" xfId="0"/>
    <xf numFmtId="0" fontId="0" fillId="0" borderId="0" xfId="0" applyAlignment="1">
      <alignment horizontal="right"/>
    </xf>
    <xf numFmtId="164" fontId="0" fillId="0" borderId="0" xfId="0" applyNumberFormat="1" applyAlignment="1">
      <alignment horizontal="right"/>
    </xf>
    <xf numFmtId="0" fontId="0" fillId="2" borderId="1" xfId="0" applyFill="1" applyBorder="1"/>
    <xf numFmtId="0" fontId="0" fillId="0" borderId="1" xfId="0" applyBorder="1"/>
    <xf numFmtId="0" fontId="1" fillId="0" borderId="0" xfId="0" applyFont="1"/>
    <xf numFmtId="0" fontId="1" fillId="0" borderId="0" xfId="0" applyFont="1" applyAlignment="1">
      <alignment horizontal="right"/>
    </xf>
    <xf numFmtId="0" fontId="0" fillId="3" borderId="1" xfId="0" applyFill="1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/>
    <xf numFmtId="0" fontId="0" fillId="0" borderId="0" xfId="0" applyFill="1" applyBorder="1"/>
    <xf numFmtId="0" fontId="0" fillId="0" borderId="0" xfId="0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2" xfId="0" applyFill="1" applyBorder="1"/>
    <xf numFmtId="0" fontId="0" fillId="0" borderId="1" xfId="0" applyBorder="1" applyAlignment="1">
      <alignment horizontal="right"/>
    </xf>
    <xf numFmtId="0" fontId="0" fillId="4" borderId="1" xfId="0" applyFill="1" applyBorder="1" applyAlignment="1">
      <alignment horizontal="center"/>
    </xf>
    <xf numFmtId="0" fontId="0" fillId="4" borderId="1" xfId="0" applyFill="1" applyBorder="1"/>
    <xf numFmtId="0" fontId="0" fillId="0" borderId="1" xfId="0" applyFill="1" applyBorder="1"/>
    <xf numFmtId="0" fontId="0" fillId="5" borderId="1" xfId="0" applyFill="1" applyBorder="1"/>
    <xf numFmtId="164" fontId="0" fillId="0" borderId="0" xfId="0" applyNumberFormat="1" applyFill="1" applyAlignment="1">
      <alignment horizontal="right"/>
    </xf>
    <xf numFmtId="0" fontId="0" fillId="0" borderId="5" xfId="0" applyFill="1" applyBorder="1"/>
    <xf numFmtId="0" fontId="0" fillId="0" borderId="5" xfId="0" applyBorder="1"/>
    <xf numFmtId="0" fontId="0" fillId="0" borderId="4" xfId="0" applyFill="1" applyBorder="1"/>
    <xf numFmtId="0" fontId="0" fillId="0" borderId="4" xfId="0" applyBorder="1"/>
    <xf numFmtId="0" fontId="0" fillId="3" borderId="4" xfId="0" applyFill="1" applyBorder="1"/>
    <xf numFmtId="0" fontId="0" fillId="0" borderId="6" xfId="0" applyFill="1" applyBorder="1"/>
    <xf numFmtId="0" fontId="0" fillId="0" borderId="0" xfId="0" applyAlignment="1">
      <alignment horizontal="center"/>
    </xf>
    <xf numFmtId="0" fontId="0" fillId="0" borderId="0" xfId="0" applyFill="1" applyBorder="1" applyAlignment="1">
      <alignment horizontal="center"/>
    </xf>
    <xf numFmtId="0" fontId="0" fillId="5" borderId="1" xfId="0" applyFont="1" applyFill="1" applyBorder="1"/>
    <xf numFmtId="0" fontId="0" fillId="6" borderId="1" xfId="0" applyFill="1" applyBorder="1"/>
    <xf numFmtId="0" fontId="0" fillId="7" borderId="1" xfId="0" applyFill="1" applyBorder="1"/>
    <xf numFmtId="0" fontId="0" fillId="4" borderId="1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0" fillId="8" borderId="1" xfId="0" applyFill="1" applyBorder="1"/>
    <xf numFmtId="0" fontId="0" fillId="8" borderId="1" xfId="0" applyFill="1" applyBorder="1" applyAlignment="1">
      <alignment horizontal="center"/>
    </xf>
  </cellXfs>
  <cellStyles count="2">
    <cellStyle name="Normal" xfId="0" builtinId="0"/>
    <cellStyle name="Style 1" xfId="1"/>
  </cellStyles>
  <dxfs count="0"/>
  <tableStyles count="0" defaultTableStyle="TableStyleMedium2" defaultPivotStyle="PivotStyleLight16"/>
  <colors>
    <mruColors>
      <color rgb="FFFFFFCC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4"/>
  <sheetViews>
    <sheetView zoomScale="85" zoomScaleNormal="85" workbookViewId="0">
      <selection activeCell="D1" sqref="D1:P27"/>
    </sheetView>
  </sheetViews>
  <sheetFormatPr baseColWidth="10" defaultRowHeight="14.4" x14ac:dyDescent="0.3"/>
  <cols>
    <col min="1" max="1" width="5.33203125" style="4" bestFit="1" customWidth="1"/>
    <col min="4" max="4" width="10.88671875" bestFit="1" customWidth="1"/>
    <col min="5" max="5" width="17.6640625" customWidth="1"/>
    <col min="6" max="6" width="7.109375" bestFit="1" customWidth="1"/>
    <col min="7" max="7" width="5" style="11" customWidth="1"/>
    <col min="8" max="8" width="11.6640625" customWidth="1"/>
    <col min="9" max="9" width="18.5546875" customWidth="1"/>
    <col min="10" max="10" width="8.109375" customWidth="1"/>
    <col min="11" max="11" width="7.88671875" customWidth="1"/>
    <col min="12" max="12" width="10.109375" customWidth="1"/>
    <col min="13" max="13" width="7.5546875" customWidth="1"/>
    <col min="14" max="14" width="13.88671875" bestFit="1" customWidth="1"/>
  </cols>
  <sheetData>
    <row r="1" spans="1:14" x14ac:dyDescent="0.3">
      <c r="A1" s="4" t="s">
        <v>82</v>
      </c>
      <c r="B1" s="5" t="s">
        <v>50</v>
      </c>
      <c r="C1" s="6" t="s">
        <v>80</v>
      </c>
      <c r="D1" s="36" t="s">
        <v>64</v>
      </c>
      <c r="E1" s="37"/>
      <c r="F1" s="37"/>
      <c r="G1" s="10"/>
      <c r="H1" s="38" t="s">
        <v>70</v>
      </c>
      <c r="I1" s="38"/>
      <c r="J1" s="38"/>
      <c r="L1" s="35" t="s">
        <v>77</v>
      </c>
      <c r="M1" s="35"/>
      <c r="N1" s="35"/>
    </row>
    <row r="2" spans="1:14" x14ac:dyDescent="0.3">
      <c r="A2" s="18">
        <v>1</v>
      </c>
      <c r="B2" t="s">
        <v>72</v>
      </c>
      <c r="C2" s="2" t="s">
        <v>0</v>
      </c>
      <c r="D2" s="30"/>
      <c r="E2" s="30"/>
      <c r="F2" s="13"/>
    </row>
    <row r="3" spans="1:14" x14ac:dyDescent="0.3">
      <c r="A3" s="18">
        <v>2</v>
      </c>
      <c r="B3" t="s">
        <v>65</v>
      </c>
      <c r="C3" s="2" t="s">
        <v>1</v>
      </c>
    </row>
    <row r="4" spans="1:14" x14ac:dyDescent="0.3">
      <c r="A4" s="18">
        <v>3</v>
      </c>
      <c r="B4" t="s">
        <v>26</v>
      </c>
      <c r="C4" s="2" t="s">
        <v>2</v>
      </c>
      <c r="D4" s="15" t="s">
        <v>78</v>
      </c>
      <c r="E4" s="8" t="s">
        <v>66</v>
      </c>
      <c r="F4" s="8" t="s">
        <v>81</v>
      </c>
      <c r="G4" s="12"/>
    </row>
    <row r="5" spans="1:14" x14ac:dyDescent="0.3">
      <c r="A5" s="18">
        <v>4</v>
      </c>
      <c r="B5" t="s">
        <v>27</v>
      </c>
      <c r="C5" s="2" t="s">
        <v>3</v>
      </c>
      <c r="D5" s="14">
        <v>3</v>
      </c>
      <c r="E5" s="3" t="str">
        <f>IF(A2=1,B2,FALSE)</f>
        <v>COLAS</v>
      </c>
      <c r="F5" s="3">
        <f>INDEX(A$2:B$33,MATCH(E5,B$2:B$33,0),1)</f>
        <v>1</v>
      </c>
      <c r="G5" s="12"/>
    </row>
    <row r="6" spans="1:14" x14ac:dyDescent="0.3">
      <c r="A6" s="18">
        <v>5</v>
      </c>
      <c r="B6" t="s">
        <v>28</v>
      </c>
      <c r="C6" s="2" t="s">
        <v>4</v>
      </c>
      <c r="D6" s="14">
        <v>2</v>
      </c>
      <c r="E6" s="3" t="str">
        <f>IF(A9=8,B9)</f>
        <v>COQ</v>
      </c>
      <c r="F6" s="3">
        <f>INDEX(A$2:B$33,MATCH(E6,B$2:B$33,0),1)</f>
        <v>8</v>
      </c>
      <c r="G6" s="12"/>
    </row>
    <row r="7" spans="1:14" x14ac:dyDescent="0.3">
      <c r="A7" s="18">
        <v>6</v>
      </c>
      <c r="B7" t="s">
        <v>29</v>
      </c>
      <c r="C7" s="2" t="s">
        <v>5</v>
      </c>
      <c r="D7" s="14">
        <v>1</v>
      </c>
      <c r="E7" s="3" t="str">
        <f>IF(A13=12,B13)</f>
        <v>MOUETTE</v>
      </c>
      <c r="F7" s="3">
        <f>INDEX(A$2:B$33,MATCH(E7,B$2:B$33,0),1)</f>
        <v>12</v>
      </c>
      <c r="G7" s="12"/>
      <c r="H7" s="8" t="s">
        <v>74</v>
      </c>
      <c r="I7" s="9" t="s">
        <v>71</v>
      </c>
      <c r="J7" s="8" t="s">
        <v>81</v>
      </c>
    </row>
    <row r="8" spans="1:14" ht="14.4" customHeight="1" x14ac:dyDescent="0.3">
      <c r="A8" s="18">
        <v>7</v>
      </c>
      <c r="B8" t="s">
        <v>30</v>
      </c>
      <c r="C8" s="2" t="s">
        <v>6</v>
      </c>
      <c r="D8" s="14">
        <v>4</v>
      </c>
      <c r="E8" s="3" t="str">
        <f>IF(A17=16,B17)</f>
        <v>ELEPHANT</v>
      </c>
      <c r="F8" s="3">
        <f>INDEX(A$2:B$33,MATCH(E8,B$2:B$33,0),1)</f>
        <v>16</v>
      </c>
      <c r="G8" s="12"/>
      <c r="H8" s="16">
        <v>1</v>
      </c>
      <c r="I8" s="17" t="str">
        <f>VLOOKUP(1,D5:E8,2,FALSE)</f>
        <v>MOUETTE</v>
      </c>
      <c r="J8" s="7">
        <f>INDEX(A$2:B$33,MATCH(I8,B$2:B$33,0),1)</f>
        <v>12</v>
      </c>
    </row>
    <row r="9" spans="1:14" x14ac:dyDescent="0.3">
      <c r="A9" s="18">
        <v>8</v>
      </c>
      <c r="B9" t="s">
        <v>31</v>
      </c>
      <c r="C9" s="2" t="s">
        <v>7</v>
      </c>
      <c r="G9" s="12"/>
      <c r="H9" s="16">
        <v>3</v>
      </c>
      <c r="I9" s="17" t="str">
        <f>VLOOKUP(2,D5:E8,2,FALSE)</f>
        <v>COQ</v>
      </c>
      <c r="J9" s="7">
        <f>INDEX(A$2:B$33,MATCH(I9,B$2:B$33,0),1)</f>
        <v>8</v>
      </c>
    </row>
    <row r="10" spans="1:14" x14ac:dyDescent="0.3">
      <c r="A10" s="18">
        <v>9</v>
      </c>
      <c r="B10" t="s">
        <v>32</v>
      </c>
      <c r="C10" s="2" t="s">
        <v>8</v>
      </c>
      <c r="D10" s="15" t="s">
        <v>78</v>
      </c>
      <c r="E10" s="8" t="s">
        <v>67</v>
      </c>
      <c r="F10" s="8" t="s">
        <v>79</v>
      </c>
      <c r="G10" s="12"/>
      <c r="H10" s="16">
        <v>2</v>
      </c>
      <c r="I10" s="17" t="str">
        <f>VLOOKUP(1,D11:E14,2,FALSE)</f>
        <v>CALOR</v>
      </c>
      <c r="J10" s="7">
        <f>INDEX(A$2:B$33,MATCH(I10,B$2:B$33,0),1)</f>
        <v>5</v>
      </c>
    </row>
    <row r="11" spans="1:14" x14ac:dyDescent="0.3">
      <c r="A11" s="18">
        <v>10</v>
      </c>
      <c r="B11" t="s">
        <v>33</v>
      </c>
      <c r="C11" s="2" t="s">
        <v>9</v>
      </c>
      <c r="D11" s="14">
        <v>2</v>
      </c>
      <c r="E11" s="3" t="str">
        <f>IF(A5=4,B5)</f>
        <v>DOUC</v>
      </c>
      <c r="F11" s="3">
        <f>INDEX(A$2:B$33,MATCH(E11,B$2:B$33,0),1)</f>
        <v>4</v>
      </c>
      <c r="G11" s="12"/>
      <c r="H11" s="16">
        <v>4</v>
      </c>
      <c r="I11" s="17" t="str">
        <f>VLOOKUP(2,D11:E14,2,FALSE)</f>
        <v>DOUC</v>
      </c>
      <c r="J11" s="7">
        <f>INDEX(A$2:B$33,MATCH(I11,B$2:B$33,0),1)</f>
        <v>4</v>
      </c>
    </row>
    <row r="12" spans="1:14" x14ac:dyDescent="0.3">
      <c r="A12" s="18">
        <v>11</v>
      </c>
      <c r="B12" t="s">
        <v>34</v>
      </c>
      <c r="C12" s="2" t="s">
        <v>10</v>
      </c>
      <c r="D12" s="14">
        <v>1</v>
      </c>
      <c r="E12" s="3" t="str">
        <f>IF(A6=5,B6)</f>
        <v>CALOR</v>
      </c>
      <c r="F12" s="3">
        <f>INDEX(A$2:B$33,MATCH(E12,B$2:B$33,0),1)</f>
        <v>5</v>
      </c>
      <c r="G12" s="12"/>
    </row>
    <row r="13" spans="1:14" x14ac:dyDescent="0.3">
      <c r="A13" s="18">
        <v>12</v>
      </c>
      <c r="B13" t="s">
        <v>35</v>
      </c>
      <c r="C13" s="2" t="s">
        <v>11</v>
      </c>
      <c r="D13" s="14">
        <v>3</v>
      </c>
      <c r="E13" s="3" t="str">
        <f>IF(A10=9,B10)</f>
        <v xml:space="preserve">OIE </v>
      </c>
      <c r="F13" s="3">
        <f>INDEX(A$2:B$33,MATCH(E13,B$2:B$33,0),1)</f>
        <v>9</v>
      </c>
      <c r="G13" s="12"/>
      <c r="L13" s="8" t="s">
        <v>77</v>
      </c>
      <c r="M13" s="8" t="s">
        <v>83</v>
      </c>
      <c r="N13" s="8" t="s">
        <v>76</v>
      </c>
    </row>
    <row r="14" spans="1:14" x14ac:dyDescent="0.3">
      <c r="A14" s="18">
        <v>13</v>
      </c>
      <c r="B14" t="s">
        <v>36</v>
      </c>
      <c r="C14" s="2" t="s">
        <v>12</v>
      </c>
      <c r="D14" s="14">
        <v>4</v>
      </c>
      <c r="E14" s="3" t="str">
        <f>IF(A14=13,B14)</f>
        <v>PIGEON</v>
      </c>
      <c r="F14" s="3">
        <f>INDEX(A$2:B$33,MATCH(E14,B$2:B$33,0),1)</f>
        <v>13</v>
      </c>
      <c r="G14" s="12"/>
      <c r="L14" s="19" t="str">
        <f>VLOOKUP(1,H8:I11,2,FALSE)</f>
        <v>MOUETTE</v>
      </c>
      <c r="M14" s="20">
        <f>INDEX(A$2:B$33,MATCH(L14,B$2:B$33,0),1)</f>
        <v>12</v>
      </c>
      <c r="N14" s="20"/>
    </row>
    <row r="15" spans="1:14" x14ac:dyDescent="0.3">
      <c r="A15" s="18">
        <v>14</v>
      </c>
      <c r="B15" t="s">
        <v>37</v>
      </c>
      <c r="C15" s="2" t="s">
        <v>13</v>
      </c>
      <c r="L15" s="19" t="str">
        <f>VLOOKUP(2,H8:I11,2,FALSE)</f>
        <v>CALOR</v>
      </c>
      <c r="M15" s="20">
        <f>INDEX(A$2:B$33,MATCH(L15,B$2:B$33,0),1)</f>
        <v>5</v>
      </c>
      <c r="N15" s="20"/>
    </row>
    <row r="16" spans="1:14" x14ac:dyDescent="0.3">
      <c r="A16" s="18">
        <v>15</v>
      </c>
      <c r="B16" t="s">
        <v>38</v>
      </c>
      <c r="C16" s="2" t="s">
        <v>14</v>
      </c>
      <c r="D16" s="15" t="s">
        <v>78</v>
      </c>
      <c r="E16" s="8" t="s">
        <v>68</v>
      </c>
      <c r="F16" s="8" t="s">
        <v>79</v>
      </c>
      <c r="G16" s="12"/>
      <c r="L16" s="19" t="str">
        <f>VLOOKUP(1,H20:I23,2,FALSE)</f>
        <v>BOUC</v>
      </c>
      <c r="M16" s="20">
        <f>INDEX(A$2:B$33,MATCH(L16,B$2:B$33,0),1)</f>
        <v>14</v>
      </c>
      <c r="N16" s="20"/>
    </row>
    <row r="17" spans="1:14" x14ac:dyDescent="0.3">
      <c r="A17" s="18">
        <v>16</v>
      </c>
      <c r="B17" t="s">
        <v>39</v>
      </c>
      <c r="C17" s="2" t="s">
        <v>15</v>
      </c>
      <c r="D17" s="14">
        <v>4</v>
      </c>
      <c r="E17" s="3" t="str">
        <f>IF(A4=3,B4)</f>
        <v>DELOR</v>
      </c>
      <c r="F17" s="3">
        <f>INDEX(A$2:B$33,MATCH(E17,B$2:B$33,0),1)</f>
        <v>3</v>
      </c>
      <c r="G17" s="12"/>
      <c r="L17" s="19" t="str">
        <f>VLOOKUP(2,H20:I23,2,FALSE)</f>
        <v>COOL</v>
      </c>
      <c r="M17" s="20">
        <f>INDEX(A$2:B$33,MATCH(L17,B$2:B$33,0),1)</f>
        <v>2</v>
      </c>
      <c r="N17" s="20"/>
    </row>
    <row r="18" spans="1:14" x14ac:dyDescent="0.3">
      <c r="A18" s="18">
        <v>17</v>
      </c>
      <c r="B18" t="s">
        <v>40</v>
      </c>
      <c r="C18" s="2" t="s">
        <v>16</v>
      </c>
      <c r="D18" s="14">
        <v>1</v>
      </c>
      <c r="E18" s="3" t="str">
        <f>IF(A7=6,B7)</f>
        <v>VEGAN</v>
      </c>
      <c r="F18" s="3">
        <f>INDEX(A$2:B$33,MATCH(E18,B$2:B$33,0),1)</f>
        <v>6</v>
      </c>
      <c r="G18" s="12"/>
    </row>
    <row r="19" spans="1:14" x14ac:dyDescent="0.3">
      <c r="A19" s="18">
        <v>18</v>
      </c>
      <c r="B19" t="s">
        <v>41</v>
      </c>
      <c r="C19" s="2" t="s">
        <v>17</v>
      </c>
      <c r="D19" s="14">
        <v>3</v>
      </c>
      <c r="E19" s="3" t="str">
        <f>IF(A11=10,B11)</f>
        <v>ANE</v>
      </c>
      <c r="F19" s="3">
        <f>INDEX(A$2:B$33,MATCH(E19,B$2:B$33,0),1)</f>
        <v>10</v>
      </c>
      <c r="G19" s="12"/>
      <c r="H19" s="8" t="s">
        <v>74</v>
      </c>
      <c r="I19" s="9" t="s">
        <v>75</v>
      </c>
      <c r="J19" s="8" t="s">
        <v>81</v>
      </c>
    </row>
    <row r="20" spans="1:14" x14ac:dyDescent="0.3">
      <c r="A20" s="18">
        <v>19</v>
      </c>
      <c r="B20" t="s">
        <v>42</v>
      </c>
      <c r="C20" s="2" t="s">
        <v>18</v>
      </c>
      <c r="D20" s="14">
        <v>2</v>
      </c>
      <c r="E20" s="3" t="str">
        <f>IF(A15=14,B15)</f>
        <v>BOUC</v>
      </c>
      <c r="F20" s="3">
        <f>INDEX(A$2:B$33,MATCH(E20,B$2:B$33,0),1)</f>
        <v>14</v>
      </c>
      <c r="G20" s="12"/>
      <c r="H20" s="16">
        <v>3</v>
      </c>
      <c r="I20" s="17" t="str">
        <f>VLOOKUP(1,D17:E20,2,FALSE)</f>
        <v>VEGAN</v>
      </c>
      <c r="J20" s="7">
        <f>INDEX(A$2:B$33,MATCH(I20,B$2:B$33,0),1)</f>
        <v>6</v>
      </c>
    </row>
    <row r="21" spans="1:14" x14ac:dyDescent="0.3">
      <c r="A21" s="18">
        <v>20</v>
      </c>
      <c r="B21" t="s">
        <v>43</v>
      </c>
      <c r="C21" s="2" t="s">
        <v>19</v>
      </c>
      <c r="H21" s="16">
        <v>1</v>
      </c>
      <c r="I21" s="17" t="str">
        <f>VLOOKUP(2,D17:E20,2,FALSE)</f>
        <v>BOUC</v>
      </c>
      <c r="J21" s="7">
        <f>INDEX(A$2:B$33,MATCH(I21,B$2:B$33,0),1)</f>
        <v>14</v>
      </c>
    </row>
    <row r="22" spans="1:14" x14ac:dyDescent="0.3">
      <c r="A22" s="18">
        <v>21</v>
      </c>
      <c r="B22" t="s">
        <v>44</v>
      </c>
      <c r="C22" s="2" t="s">
        <v>20</v>
      </c>
      <c r="D22" s="15" t="s">
        <v>78</v>
      </c>
      <c r="E22" s="8" t="s">
        <v>69</v>
      </c>
      <c r="F22" s="8" t="s">
        <v>79</v>
      </c>
      <c r="G22" s="12"/>
      <c r="H22" s="16">
        <v>2</v>
      </c>
      <c r="I22" s="17" t="str">
        <f>VLOOKUP(1,D23:E26,2,FALSE)</f>
        <v>COOL</v>
      </c>
      <c r="J22" s="7">
        <f>INDEX(A$2:B$33,MATCH(I22,B$2:B$33,0),1)</f>
        <v>2</v>
      </c>
    </row>
    <row r="23" spans="1:14" x14ac:dyDescent="0.3">
      <c r="A23" s="18">
        <v>22</v>
      </c>
      <c r="B23" t="s">
        <v>45</v>
      </c>
      <c r="C23" s="2" t="s">
        <v>21</v>
      </c>
      <c r="D23" s="14">
        <v>1</v>
      </c>
      <c r="E23" s="3" t="str">
        <f>IF(A3=2,B3)</f>
        <v>COOL</v>
      </c>
      <c r="F23" s="3">
        <f>INDEX(A$2:B$33,MATCH(E23,B$2:B$33,0),1)</f>
        <v>2</v>
      </c>
      <c r="G23" s="12"/>
      <c r="H23" s="16">
        <v>4</v>
      </c>
      <c r="I23" s="17" t="str">
        <f>VLOOKUP(2,D23:E26,2,FALSE)</f>
        <v>CHEVAL</v>
      </c>
      <c r="J23" s="7">
        <f>INDEX(A$2:B$33,MATCH(I23,B$2:B$33,0),1)</f>
        <v>11</v>
      </c>
    </row>
    <row r="24" spans="1:14" x14ac:dyDescent="0.3">
      <c r="A24" s="18">
        <v>23</v>
      </c>
      <c r="B24" t="s">
        <v>46</v>
      </c>
      <c r="C24" s="2" t="s">
        <v>22</v>
      </c>
      <c r="D24" s="14">
        <v>3</v>
      </c>
      <c r="E24" s="3" t="str">
        <f>IF(A8=7,B8)</f>
        <v>POUL</v>
      </c>
      <c r="F24" s="3">
        <f>INDEX(A$2:B$33,MATCH(E24,B$2:B$33,0),1)</f>
        <v>7</v>
      </c>
      <c r="G24" s="12"/>
    </row>
    <row r="25" spans="1:14" x14ac:dyDescent="0.3">
      <c r="A25" s="18">
        <v>24</v>
      </c>
      <c r="B25" t="s">
        <v>47</v>
      </c>
      <c r="C25" s="2" t="s">
        <v>23</v>
      </c>
      <c r="D25" s="14">
        <v>2</v>
      </c>
      <c r="E25" s="3" t="str">
        <f>IF(A12=11,B12)</f>
        <v>CHEVAL</v>
      </c>
      <c r="F25" s="3">
        <f>INDEX(A$2:B$33,MATCH(E25,B$2:B$33,0),1)</f>
        <v>11</v>
      </c>
      <c r="G25" s="12"/>
    </row>
    <row r="26" spans="1:14" x14ac:dyDescent="0.3">
      <c r="A26" s="18">
        <v>25</v>
      </c>
      <c r="B26" t="s">
        <v>48</v>
      </c>
      <c r="C26" s="2" t="s">
        <v>24</v>
      </c>
      <c r="D26" s="14">
        <v>4</v>
      </c>
      <c r="E26" s="3" t="str">
        <f>IF(A16=15,B16)</f>
        <v>VACHE</v>
      </c>
      <c r="F26" s="3">
        <f>INDEX(A$2:B$33,MATCH(E26,B$2:B$33,0),1)</f>
        <v>15</v>
      </c>
      <c r="G26" s="12"/>
    </row>
    <row r="27" spans="1:14" x14ac:dyDescent="0.3">
      <c r="A27" s="18">
        <v>26</v>
      </c>
      <c r="B27" t="s">
        <v>49</v>
      </c>
      <c r="C27" s="2" t="s">
        <v>25</v>
      </c>
    </row>
    <row r="28" spans="1:14" x14ac:dyDescent="0.3">
      <c r="A28" s="18">
        <v>27</v>
      </c>
      <c r="B28" t="s">
        <v>52</v>
      </c>
      <c r="C28" s="2" t="s">
        <v>53</v>
      </c>
    </row>
    <row r="29" spans="1:14" x14ac:dyDescent="0.3">
      <c r="A29" s="18">
        <v>28</v>
      </c>
      <c r="B29" t="s">
        <v>59</v>
      </c>
      <c r="C29" s="2" t="s">
        <v>54</v>
      </c>
    </row>
    <row r="30" spans="1:14" x14ac:dyDescent="0.3">
      <c r="A30" s="18">
        <v>29</v>
      </c>
      <c r="B30" t="s">
        <v>60</v>
      </c>
      <c r="C30" s="2" t="s">
        <v>55</v>
      </c>
    </row>
    <row r="31" spans="1:14" x14ac:dyDescent="0.3">
      <c r="A31" s="18">
        <v>30</v>
      </c>
      <c r="B31" t="s">
        <v>61</v>
      </c>
      <c r="C31" s="2" t="s">
        <v>56</v>
      </c>
    </row>
    <row r="32" spans="1:14" x14ac:dyDescent="0.3">
      <c r="A32" s="18">
        <v>31</v>
      </c>
      <c r="B32" t="s">
        <v>62</v>
      </c>
      <c r="C32" s="2" t="s">
        <v>57</v>
      </c>
    </row>
    <row r="33" spans="1:3" x14ac:dyDescent="0.3">
      <c r="A33" s="18">
        <v>32</v>
      </c>
      <c r="B33" t="s">
        <v>63</v>
      </c>
      <c r="C33" s="2" t="s">
        <v>58</v>
      </c>
    </row>
    <row r="34" spans="1:3" x14ac:dyDescent="0.3">
      <c r="A34" s="18">
        <v>33</v>
      </c>
    </row>
  </sheetData>
  <mergeCells count="3">
    <mergeCell ref="L1:N1"/>
    <mergeCell ref="D1:F1"/>
    <mergeCell ref="H1:J1"/>
  </mergeCells>
  <conditionalFormatting sqref="B34">
    <cfRule type="colorScale" priority="1">
      <colorScale>
        <cfvo type="min"/>
        <cfvo type="max"/>
        <color rgb="FFFF7128"/>
        <color rgb="FFFFEF9C"/>
      </colorScale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0"/>
  <sheetViews>
    <sheetView workbookViewId="0">
      <selection activeCell="R26" sqref="R26"/>
    </sheetView>
  </sheetViews>
  <sheetFormatPr baseColWidth="10" defaultRowHeight="14.4" x14ac:dyDescent="0.3"/>
  <cols>
    <col min="1" max="1" width="5.33203125" bestFit="1" customWidth="1"/>
    <col min="4" max="4" width="13.77734375" bestFit="1" customWidth="1"/>
    <col min="5" max="5" width="10.44140625" style="11" customWidth="1"/>
    <col min="6" max="6" width="13.6640625" customWidth="1"/>
    <col min="7" max="7" width="7.5546875" bestFit="1" customWidth="1"/>
    <col min="8" max="8" width="5.21875" customWidth="1"/>
    <col min="10" max="10" width="13.109375" bestFit="1" customWidth="1"/>
    <col min="12" max="12" width="5.44140625" customWidth="1"/>
    <col min="14" max="14" width="14" customWidth="1"/>
    <col min="15" max="15" width="7.109375" bestFit="1" customWidth="1"/>
    <col min="16" max="16" width="5.88671875" customWidth="1"/>
    <col min="19" max="19" width="14.109375" customWidth="1"/>
  </cols>
  <sheetData>
    <row r="1" spans="1:19" x14ac:dyDescent="0.3">
      <c r="A1" t="s">
        <v>82</v>
      </c>
      <c r="B1" s="5" t="s">
        <v>50</v>
      </c>
      <c r="C1" s="6" t="s">
        <v>51</v>
      </c>
      <c r="D1" s="6" t="s">
        <v>109</v>
      </c>
      <c r="E1" s="39" t="s">
        <v>84</v>
      </c>
      <c r="F1" s="39"/>
      <c r="G1" s="39"/>
      <c r="I1" s="40" t="s">
        <v>64</v>
      </c>
      <c r="J1" s="40"/>
      <c r="K1" s="40"/>
      <c r="M1" s="35" t="s">
        <v>85</v>
      </c>
      <c r="N1" s="35"/>
      <c r="O1" s="35"/>
      <c r="Q1" s="38" t="s">
        <v>77</v>
      </c>
      <c r="R1" s="38"/>
      <c r="S1" s="38"/>
    </row>
    <row r="2" spans="1:19" x14ac:dyDescent="0.3">
      <c r="A2">
        <v>1</v>
      </c>
      <c r="B2" t="s">
        <v>72</v>
      </c>
      <c r="C2" s="1">
        <v>54</v>
      </c>
      <c r="D2" s="2" t="s">
        <v>0</v>
      </c>
      <c r="E2" s="11" t="s">
        <v>73</v>
      </c>
    </row>
    <row r="3" spans="1:19" x14ac:dyDescent="0.3">
      <c r="A3">
        <v>2</v>
      </c>
      <c r="B3" t="s">
        <v>65</v>
      </c>
      <c r="C3" s="1">
        <v>67</v>
      </c>
      <c r="D3" s="2" t="s">
        <v>1</v>
      </c>
    </row>
    <row r="4" spans="1:19" x14ac:dyDescent="0.3">
      <c r="A4">
        <v>3</v>
      </c>
      <c r="B4" t="s">
        <v>26</v>
      </c>
      <c r="C4" s="1">
        <v>78</v>
      </c>
      <c r="D4" s="2" t="s">
        <v>2</v>
      </c>
      <c r="E4" s="21" t="s">
        <v>105</v>
      </c>
      <c r="F4" s="4" t="s">
        <v>104</v>
      </c>
      <c r="G4" s="4" t="s">
        <v>81</v>
      </c>
    </row>
    <row r="5" spans="1:19" x14ac:dyDescent="0.3">
      <c r="A5">
        <v>4</v>
      </c>
      <c r="B5" t="s">
        <v>27</v>
      </c>
      <c r="C5" s="1">
        <v>103</v>
      </c>
      <c r="D5" s="2" t="s">
        <v>3</v>
      </c>
      <c r="E5" s="22">
        <v>1</v>
      </c>
      <c r="F5" s="22" t="str">
        <f>IF(A2=1,B2,FALSE)</f>
        <v>COLAS</v>
      </c>
      <c r="G5" s="22">
        <f>INDEX($A$2:$B$33,MATCH(F5,$B$2:$B$33,0),1)</f>
        <v>1</v>
      </c>
    </row>
    <row r="6" spans="1:19" x14ac:dyDescent="0.3">
      <c r="A6">
        <v>5</v>
      </c>
      <c r="B6" t="s">
        <v>28</v>
      </c>
      <c r="C6" s="1">
        <v>99</v>
      </c>
      <c r="D6" s="2" t="s">
        <v>4</v>
      </c>
      <c r="E6" s="22">
        <v>2</v>
      </c>
      <c r="F6" s="22" t="str">
        <f>IF(A17=16,B17,F5)</f>
        <v>ELEPHANT</v>
      </c>
      <c r="G6" s="22">
        <f>INDEX(A$2:B$33,MATCH(F6,B$2:B$33,0),1)</f>
        <v>16</v>
      </c>
    </row>
    <row r="7" spans="1:19" x14ac:dyDescent="0.3">
      <c r="A7">
        <v>6</v>
      </c>
      <c r="B7" t="s">
        <v>29</v>
      </c>
      <c r="C7" s="1">
        <v>49</v>
      </c>
      <c r="D7" s="2" t="s">
        <v>5</v>
      </c>
      <c r="E7" s="22">
        <v>3</v>
      </c>
      <c r="F7" s="22" t="str">
        <f>IF(A18=17,B18)</f>
        <v>TIGRE</v>
      </c>
      <c r="G7" s="22">
        <f>INDEX(A$2:B$33,MATCH(F7,B$2:B$33,0),1)</f>
        <v>17</v>
      </c>
      <c r="I7" s="8" t="s">
        <v>78</v>
      </c>
      <c r="J7" s="8" t="s">
        <v>108</v>
      </c>
      <c r="K7" s="8" t="s">
        <v>81</v>
      </c>
    </row>
    <row r="8" spans="1:19" x14ac:dyDescent="0.3">
      <c r="A8">
        <v>7</v>
      </c>
      <c r="B8" t="s">
        <v>31</v>
      </c>
      <c r="C8" s="1">
        <v>44</v>
      </c>
      <c r="D8" s="2" t="s">
        <v>6</v>
      </c>
      <c r="E8" s="22">
        <v>4</v>
      </c>
      <c r="F8" s="22" t="str">
        <f>IF(A33=32,B33)</f>
        <v>ORANGE</v>
      </c>
      <c r="G8" s="22">
        <f>INDEX(A$2:B$33,MATCH(F8,B$2:B$33,0),1)</f>
        <v>32</v>
      </c>
      <c r="I8" s="14">
        <v>1</v>
      </c>
      <c r="J8" s="14" t="str">
        <f>VLOOKUP(1,E5:F8,2,FALSE)</f>
        <v>COLAS</v>
      </c>
      <c r="K8" s="14">
        <f>INDEX($A$2:$B$33,MATCH(J8,$B$2:$B$33,0),1)</f>
        <v>1</v>
      </c>
    </row>
    <row r="9" spans="1:19" x14ac:dyDescent="0.3">
      <c r="A9">
        <v>8</v>
      </c>
      <c r="B9" t="s">
        <v>110</v>
      </c>
      <c r="C9" s="1">
        <v>30</v>
      </c>
      <c r="D9" s="2" t="s">
        <v>7</v>
      </c>
      <c r="I9" s="14">
        <v>2</v>
      </c>
      <c r="J9" s="14" t="str">
        <f>VLOOKUP(2,E5:F8,2,FALSE)</f>
        <v>ELEPHANT</v>
      </c>
      <c r="K9" s="14">
        <f t="shared" ref="K9:K11" si="0">INDEX($A$2:$B$33,MATCH(J9,$B$2:$B$33,0),1)</f>
        <v>16</v>
      </c>
    </row>
    <row r="10" spans="1:19" x14ac:dyDescent="0.3">
      <c r="A10">
        <v>9</v>
      </c>
      <c r="B10" t="s">
        <v>32</v>
      </c>
      <c r="C10" s="1">
        <v>10</v>
      </c>
      <c r="D10" s="2" t="s">
        <v>8</v>
      </c>
      <c r="E10" s="21" t="s">
        <v>106</v>
      </c>
      <c r="F10" s="4" t="s">
        <v>103</v>
      </c>
      <c r="G10" s="4" t="s">
        <v>83</v>
      </c>
      <c r="I10" s="14">
        <v>4</v>
      </c>
      <c r="J10" s="14" t="str">
        <f>VLOOKUP(1,E11:F14,2,FALSE)</f>
        <v xml:space="preserve">OIE </v>
      </c>
      <c r="K10" s="14">
        <f t="shared" si="0"/>
        <v>9</v>
      </c>
    </row>
    <row r="11" spans="1:19" x14ac:dyDescent="0.3">
      <c r="A11">
        <v>10</v>
      </c>
      <c r="B11" t="s">
        <v>33</v>
      </c>
      <c r="C11" s="1">
        <v>28</v>
      </c>
      <c r="D11" s="2" t="s">
        <v>9</v>
      </c>
      <c r="E11" s="22">
        <v>2</v>
      </c>
      <c r="F11" s="22" t="str">
        <f>IF(A9=8,B9)</f>
        <v>POULE</v>
      </c>
      <c r="G11" s="22">
        <f>INDEX(A$2:B$33,MATCH(F11,B$2:B$33,0),1)</f>
        <v>8</v>
      </c>
      <c r="I11" s="14">
        <v>3</v>
      </c>
      <c r="J11" s="14" t="str">
        <f>VLOOKUP(2,E11:F14,2,FALSE)</f>
        <v>POULE</v>
      </c>
      <c r="K11" s="14">
        <f t="shared" si="0"/>
        <v>8</v>
      </c>
    </row>
    <row r="12" spans="1:19" x14ac:dyDescent="0.3">
      <c r="A12">
        <v>11</v>
      </c>
      <c r="B12" t="s">
        <v>34</v>
      </c>
      <c r="C12" s="1">
        <v>117</v>
      </c>
      <c r="D12" s="2" t="s">
        <v>10</v>
      </c>
      <c r="E12" s="22">
        <v>1</v>
      </c>
      <c r="F12" s="22" t="str">
        <f>IF(A10=9,B10)</f>
        <v xml:space="preserve">OIE </v>
      </c>
      <c r="G12" s="22">
        <f>INDEX(A$2:B$33,MATCH(F12,B$2:B$33,0),1)</f>
        <v>9</v>
      </c>
    </row>
    <row r="13" spans="1:19" x14ac:dyDescent="0.3">
      <c r="A13">
        <v>12</v>
      </c>
      <c r="B13" t="s">
        <v>35</v>
      </c>
      <c r="C13" s="1">
        <v>35</v>
      </c>
      <c r="D13" s="2" t="s">
        <v>11</v>
      </c>
      <c r="E13" s="22">
        <v>3</v>
      </c>
      <c r="F13" s="22" t="str">
        <f>IF(A25=24,B25)</f>
        <v>COURGETTE</v>
      </c>
      <c r="G13" s="22">
        <f>INDEX(A$2:B$33,MATCH(F13,B$2:B$33,0),1)</f>
        <v>24</v>
      </c>
      <c r="M13" s="4" t="s">
        <v>74</v>
      </c>
      <c r="N13" s="4" t="s">
        <v>71</v>
      </c>
      <c r="O13" s="4" t="s">
        <v>81</v>
      </c>
    </row>
    <row r="14" spans="1:19" x14ac:dyDescent="0.3">
      <c r="A14">
        <v>13</v>
      </c>
      <c r="B14" t="s">
        <v>36</v>
      </c>
      <c r="C14" s="1">
        <v>29</v>
      </c>
      <c r="D14" s="2" t="s">
        <v>12</v>
      </c>
      <c r="E14" s="22">
        <v>4</v>
      </c>
      <c r="F14" s="22" t="str">
        <f>IF(A26=25,B26)</f>
        <v>PERSIL</v>
      </c>
      <c r="G14" s="22">
        <f>INDEX(A$2:B$33,MATCH(F14,B$2:B$33,0),1)</f>
        <v>25</v>
      </c>
      <c r="M14" s="20">
        <v>2</v>
      </c>
      <c r="N14" s="20" t="str">
        <f>VLOOKUP(1,I8:K11,2,FALSE)</f>
        <v>COLAS</v>
      </c>
      <c r="O14" s="20">
        <f>INDEX($A$2:$A$33,MATCH(N14,$B$2:$B$33,0),1)</f>
        <v>1</v>
      </c>
    </row>
    <row r="15" spans="1:19" x14ac:dyDescent="0.3">
      <c r="A15">
        <v>14</v>
      </c>
      <c r="B15" t="s">
        <v>37</v>
      </c>
      <c r="C15" s="1">
        <v>82</v>
      </c>
      <c r="D15" s="2" t="s">
        <v>13</v>
      </c>
      <c r="M15" s="20">
        <v>1</v>
      </c>
      <c r="N15" s="20" t="str">
        <f>VLOOKUP(2,I8:J11,2,FALSE)</f>
        <v>ELEPHANT</v>
      </c>
      <c r="O15" s="20">
        <f t="shared" ref="O15:O17" si="1">INDEX($A$2:$A$33,MATCH(N15,$B$2:$B$33,0),1)</f>
        <v>16</v>
      </c>
    </row>
    <row r="16" spans="1:19" x14ac:dyDescent="0.3">
      <c r="A16">
        <v>15</v>
      </c>
      <c r="B16" t="s">
        <v>38</v>
      </c>
      <c r="C16" s="1">
        <v>152</v>
      </c>
      <c r="D16" s="2" t="s">
        <v>14</v>
      </c>
      <c r="E16" s="21" t="s">
        <v>107</v>
      </c>
      <c r="F16" s="4" t="s">
        <v>102</v>
      </c>
      <c r="G16" s="4" t="s">
        <v>83</v>
      </c>
      <c r="M16" s="20">
        <v>3</v>
      </c>
      <c r="N16" s="20" t="str">
        <f>VLOOKUP(1,I20:K24,2,FALSE)</f>
        <v>MOUETTE</v>
      </c>
      <c r="O16" s="20">
        <f t="shared" si="1"/>
        <v>12</v>
      </c>
    </row>
    <row r="17" spans="1:19" x14ac:dyDescent="0.3">
      <c r="A17">
        <v>16</v>
      </c>
      <c r="B17" t="s">
        <v>39</v>
      </c>
      <c r="C17" s="1">
        <v>17</v>
      </c>
      <c r="D17" s="2" t="s">
        <v>15</v>
      </c>
      <c r="E17" s="22">
        <v>4</v>
      </c>
      <c r="F17" s="22" t="str">
        <f>IF(A6=5,B6)</f>
        <v>CALOR</v>
      </c>
      <c r="G17" s="22">
        <f>INDEX(A$2:B$33,MATCH(F17,B$2:B$33,0),1)</f>
        <v>5</v>
      </c>
      <c r="M17" s="20">
        <v>4</v>
      </c>
      <c r="N17" s="20" t="str">
        <f>VLOOKUP(2,I20:K24,2,FALSE)</f>
        <v>PIGEON</v>
      </c>
      <c r="O17" s="20">
        <f t="shared" si="1"/>
        <v>13</v>
      </c>
    </row>
    <row r="18" spans="1:19" x14ac:dyDescent="0.3">
      <c r="A18">
        <v>17</v>
      </c>
      <c r="B18" t="s">
        <v>40</v>
      </c>
      <c r="C18" s="1">
        <v>24</v>
      </c>
      <c r="D18" s="2" t="s">
        <v>16</v>
      </c>
      <c r="E18" s="22">
        <v>1</v>
      </c>
      <c r="F18" s="22" t="str">
        <f>IF(A13=12,B13)</f>
        <v>MOUETTE</v>
      </c>
      <c r="G18" s="22">
        <f>INDEX(A$2:B$33,MATCH(F18,B$2:B$33,0),1)</f>
        <v>12</v>
      </c>
    </row>
    <row r="19" spans="1:19" x14ac:dyDescent="0.3">
      <c r="A19">
        <v>18</v>
      </c>
      <c r="B19" t="s">
        <v>41</v>
      </c>
      <c r="C19" s="1">
        <v>39</v>
      </c>
      <c r="D19" s="2" t="s">
        <v>17</v>
      </c>
      <c r="E19" s="22">
        <v>3</v>
      </c>
      <c r="F19" s="22" t="str">
        <f>IF(A22=21,B22)</f>
        <v>JAUNE</v>
      </c>
      <c r="G19" s="22">
        <f>INDEX(A$2:B$33,MATCH(F19,B$2:B$33,0),1)</f>
        <v>21</v>
      </c>
      <c r="I19" s="4" t="s">
        <v>78</v>
      </c>
      <c r="J19" s="4" t="s">
        <v>67</v>
      </c>
      <c r="K19" s="4" t="s">
        <v>81</v>
      </c>
    </row>
    <row r="20" spans="1:19" x14ac:dyDescent="0.3">
      <c r="A20">
        <v>19</v>
      </c>
      <c r="B20" t="s">
        <v>42</v>
      </c>
      <c r="C20" s="1">
        <v>210</v>
      </c>
      <c r="D20" s="2" t="s">
        <v>18</v>
      </c>
      <c r="E20" s="22">
        <v>2</v>
      </c>
      <c r="F20" s="22" t="str">
        <f>IF(A29=28,B29)</f>
        <v>BERT</v>
      </c>
      <c r="G20" s="22">
        <f>INDEX(A$2:B$33,MATCH(F20,B$2:B$33,0),1)</f>
        <v>28</v>
      </c>
      <c r="I20" s="3">
        <v>1</v>
      </c>
      <c r="J20" s="3" t="str">
        <f>VLOOKUP(1,E17:F20,2,FALSE)</f>
        <v>MOUETTE</v>
      </c>
      <c r="K20" s="3">
        <f>INDEX($A$2:$B$33,MATCH(J20,$B$2:$B$33,0),1)</f>
        <v>12</v>
      </c>
    </row>
    <row r="21" spans="1:19" x14ac:dyDescent="0.3">
      <c r="A21">
        <v>20</v>
      </c>
      <c r="B21" t="s">
        <v>43</v>
      </c>
      <c r="C21" s="1">
        <v>18</v>
      </c>
      <c r="D21" s="23" t="s">
        <v>19</v>
      </c>
      <c r="I21" s="3">
        <v>3</v>
      </c>
      <c r="J21" s="3" t="str">
        <f>VLOOKUP(2,E17:F20,2,FALSE)</f>
        <v>BERT</v>
      </c>
      <c r="K21" s="3">
        <f t="shared" ref="K21:K23" si="2">INDEX($A$2:$B$33,MATCH(J21,$B$2:$B$33,0),1)</f>
        <v>28</v>
      </c>
    </row>
    <row r="22" spans="1:19" x14ac:dyDescent="0.3">
      <c r="A22">
        <v>21</v>
      </c>
      <c r="B22" t="s">
        <v>44</v>
      </c>
      <c r="C22" s="1">
        <v>27</v>
      </c>
      <c r="D22" s="23" t="s">
        <v>20</v>
      </c>
      <c r="E22" s="21" t="s">
        <v>95</v>
      </c>
      <c r="F22" s="4" t="s">
        <v>93</v>
      </c>
      <c r="G22" s="4" t="s">
        <v>83</v>
      </c>
      <c r="I22" s="3">
        <v>2</v>
      </c>
      <c r="J22" s="3" t="str">
        <f>VLOOKUP(1,E23:F26,2,FALSE)</f>
        <v>PIGEON</v>
      </c>
      <c r="K22" s="3">
        <f t="shared" si="2"/>
        <v>13</v>
      </c>
    </row>
    <row r="23" spans="1:19" x14ac:dyDescent="0.3">
      <c r="A23">
        <v>22</v>
      </c>
      <c r="B23" t="s">
        <v>45</v>
      </c>
      <c r="C23" s="1">
        <v>14</v>
      </c>
      <c r="D23" s="2" t="s">
        <v>21</v>
      </c>
      <c r="E23" s="22">
        <v>3</v>
      </c>
      <c r="F23" s="22" t="str">
        <f>IF(A5=4,B5)</f>
        <v>DOUC</v>
      </c>
      <c r="G23" s="22">
        <f>INDEX(A$2:B$33,MATCH(F23,B$2:B$33,0),1)</f>
        <v>4</v>
      </c>
      <c r="I23" s="3">
        <v>4</v>
      </c>
      <c r="J23" s="3" t="str">
        <f>VLOOKUP(2,E23:F26,2,FALSE)</f>
        <v>VERT</v>
      </c>
      <c r="K23" s="3">
        <f t="shared" si="2"/>
        <v>20</v>
      </c>
    </row>
    <row r="24" spans="1:19" x14ac:dyDescent="0.3">
      <c r="A24">
        <v>23</v>
      </c>
      <c r="B24" t="s">
        <v>46</v>
      </c>
      <c r="C24" s="1">
        <v>158</v>
      </c>
      <c r="D24" s="2" t="s">
        <v>22</v>
      </c>
      <c r="E24" s="22">
        <v>1</v>
      </c>
      <c r="F24" s="22" t="str">
        <f>IF(A14=13,B14)</f>
        <v>PIGEON</v>
      </c>
      <c r="G24" s="22">
        <f>INDEX(A$2:B$33,MATCH(F24,B$2:B$33,0),1)</f>
        <v>13</v>
      </c>
    </row>
    <row r="25" spans="1:19" x14ac:dyDescent="0.3">
      <c r="A25">
        <v>24</v>
      </c>
      <c r="B25" t="s">
        <v>47</v>
      </c>
      <c r="C25" s="1">
        <v>80</v>
      </c>
      <c r="D25" s="2" t="s">
        <v>23</v>
      </c>
      <c r="E25" s="22">
        <v>2</v>
      </c>
      <c r="F25" s="22" t="str">
        <f>IF(A21=20,B21)</f>
        <v>VERT</v>
      </c>
      <c r="G25" s="22">
        <f>INDEX(A$2:B$33,MATCH(F25,B$2:B$33,0),1)</f>
        <v>20</v>
      </c>
      <c r="Q25" s="8" t="s">
        <v>77</v>
      </c>
      <c r="R25" s="8" t="s">
        <v>83</v>
      </c>
      <c r="S25" s="8" t="s">
        <v>76</v>
      </c>
    </row>
    <row r="26" spans="1:19" x14ac:dyDescent="0.3">
      <c r="A26">
        <v>25</v>
      </c>
      <c r="B26" t="s">
        <v>48</v>
      </c>
      <c r="C26" s="1">
        <v>93</v>
      </c>
      <c r="D26" s="2" t="s">
        <v>24</v>
      </c>
      <c r="E26" s="22">
        <v>4</v>
      </c>
      <c r="F26" s="22" t="str">
        <f>IF(A30=29,B30)</f>
        <v>BOFF</v>
      </c>
      <c r="G26" s="22">
        <f>INDEX(A$2:B$33,MATCH(F26,B$2:B$33,0),1)</f>
        <v>29</v>
      </c>
      <c r="Q26" s="7" t="str">
        <f>VLOOKUP(1,M14:N17,2,FALSE)</f>
        <v>ELEPHANT</v>
      </c>
      <c r="R26" s="7">
        <f>INDEX(A$2:A$33,MATCH(Q26,B$2:B$33,0),1)</f>
        <v>16</v>
      </c>
      <c r="S26" s="7"/>
    </row>
    <row r="27" spans="1:19" x14ac:dyDescent="0.3">
      <c r="A27">
        <v>26</v>
      </c>
      <c r="B27" t="s">
        <v>49</v>
      </c>
      <c r="C27" s="1">
        <v>105</v>
      </c>
      <c r="D27" s="2" t="s">
        <v>25</v>
      </c>
      <c r="Q27" s="7" t="str">
        <f>VLOOKUP(2,M14:N17,2,FALSE)</f>
        <v>COLAS</v>
      </c>
      <c r="R27" s="7">
        <f>INDEX(A$2:B$33,MATCH(Q27,B$2:B$33,0),1)</f>
        <v>1</v>
      </c>
      <c r="S27" s="7"/>
    </row>
    <row r="28" spans="1:19" x14ac:dyDescent="0.3">
      <c r="A28">
        <v>27</v>
      </c>
      <c r="B28" t="s">
        <v>52</v>
      </c>
      <c r="C28" s="1">
        <v>22</v>
      </c>
      <c r="D28" s="2" t="s">
        <v>53</v>
      </c>
      <c r="E28" s="26" t="s">
        <v>94</v>
      </c>
      <c r="F28" s="27" t="s">
        <v>92</v>
      </c>
      <c r="G28" s="27" t="s">
        <v>83</v>
      </c>
      <c r="Q28" s="7" t="str">
        <f>VLOOKUP(1,M39:N42,2,FALSE)</f>
        <v>BOUC</v>
      </c>
      <c r="R28" s="7">
        <f>INDEX($A$2:$B$33,MATCH(Q28,$B$2:$B$33,0),1)</f>
        <v>14</v>
      </c>
      <c r="S28" s="7"/>
    </row>
    <row r="29" spans="1:19" x14ac:dyDescent="0.3">
      <c r="A29">
        <v>28</v>
      </c>
      <c r="B29" t="s">
        <v>59</v>
      </c>
      <c r="C29" s="1">
        <v>33</v>
      </c>
      <c r="D29" s="2" t="s">
        <v>54</v>
      </c>
      <c r="E29" s="22">
        <v>4</v>
      </c>
      <c r="F29" s="22" t="str">
        <f>IF(A4=3,B4)</f>
        <v>DELOR</v>
      </c>
      <c r="G29" s="22">
        <f>INDEX(A$2:B$33,MATCH(F29,B$2:B$33,0),1)</f>
        <v>3</v>
      </c>
      <c r="Q29" s="28" t="str">
        <f>VLOOKUP(2,M39:N42,2,FALSE)</f>
        <v>AIL</v>
      </c>
      <c r="R29" s="7">
        <f>INDEX($A$2:$B$33,MATCH(Q29,$B$2:$B$33,0),1)</f>
        <v>26</v>
      </c>
      <c r="S29" s="7"/>
    </row>
    <row r="30" spans="1:19" x14ac:dyDescent="0.3">
      <c r="A30">
        <v>29</v>
      </c>
      <c r="B30" t="s">
        <v>60</v>
      </c>
      <c r="C30" s="1">
        <v>55</v>
      </c>
      <c r="D30" s="2" t="s">
        <v>55</v>
      </c>
      <c r="E30" s="22">
        <v>1</v>
      </c>
      <c r="F30" s="22" t="str">
        <f>IF(A15=14,B15)</f>
        <v>BOUC</v>
      </c>
      <c r="G30" s="22">
        <f>INDEX(A$2:B$33,MATCH(F30,B$2:B$33,0),1)</f>
        <v>14</v>
      </c>
      <c r="Q30" s="29"/>
    </row>
    <row r="31" spans="1:19" x14ac:dyDescent="0.3">
      <c r="A31">
        <v>30</v>
      </c>
      <c r="B31" t="s">
        <v>61</v>
      </c>
      <c r="C31" s="1">
        <v>66</v>
      </c>
      <c r="D31" s="2" t="s">
        <v>56</v>
      </c>
      <c r="E31" s="22">
        <v>2</v>
      </c>
      <c r="F31" s="22" t="str">
        <f>IF(A20=19,B20)</f>
        <v>BLEU</v>
      </c>
      <c r="G31" s="22">
        <f>INDEX(A$2:B$33,MATCH(F31,B$2:B$33,0),1)</f>
        <v>19</v>
      </c>
      <c r="I31" s="4" t="s">
        <v>78</v>
      </c>
      <c r="J31" s="4" t="s">
        <v>68</v>
      </c>
      <c r="K31" s="4" t="s">
        <v>81</v>
      </c>
      <c r="Q31" s="12"/>
    </row>
    <row r="32" spans="1:19" x14ac:dyDescent="0.3">
      <c r="A32">
        <v>31</v>
      </c>
      <c r="B32" t="s">
        <v>62</v>
      </c>
      <c r="C32" s="1">
        <v>111</v>
      </c>
      <c r="D32" s="2" t="s">
        <v>57</v>
      </c>
      <c r="E32" s="22">
        <v>3</v>
      </c>
      <c r="F32" s="22" t="str">
        <f>IF(A31=30,B31)</f>
        <v>GAROU</v>
      </c>
      <c r="G32" s="22">
        <f>INDEX(A$2:B$33,MATCH(F32,B$2:B$33,0),1)</f>
        <v>30</v>
      </c>
      <c r="I32" s="3">
        <v>1</v>
      </c>
      <c r="J32" s="3" t="str">
        <f>VLOOKUP(1,E29:G32,2,FALSE)</f>
        <v>BOUC</v>
      </c>
      <c r="K32" s="3">
        <f>INDEX($A$2:$B$33,MATCH(J32,$B$2:$B$33,0),1)</f>
        <v>14</v>
      </c>
    </row>
    <row r="33" spans="1:15" x14ac:dyDescent="0.3">
      <c r="A33">
        <v>32</v>
      </c>
      <c r="B33" t="s">
        <v>63</v>
      </c>
      <c r="C33" s="1">
        <v>28</v>
      </c>
      <c r="D33" s="2" t="s">
        <v>58</v>
      </c>
      <c r="E33" s="12"/>
      <c r="F33" s="12"/>
      <c r="G33" s="12"/>
      <c r="I33" s="3">
        <v>4</v>
      </c>
      <c r="J33" s="3" t="str">
        <f>VLOOKUP(2,E29:G32,2,FALSE)</f>
        <v>BLEU</v>
      </c>
      <c r="K33" s="3">
        <f t="shared" ref="K33:K35" si="3">INDEX($A$2:$B$33,MATCH(J33,$B$2:$B$33,0),1)</f>
        <v>19</v>
      </c>
    </row>
    <row r="34" spans="1:15" x14ac:dyDescent="0.3">
      <c r="A34">
        <v>33</v>
      </c>
      <c r="B34" t="s">
        <v>91</v>
      </c>
      <c r="E34" s="24" t="s">
        <v>96</v>
      </c>
      <c r="F34" s="25" t="s">
        <v>97</v>
      </c>
      <c r="G34" s="25" t="s">
        <v>83</v>
      </c>
      <c r="I34" s="3">
        <v>2</v>
      </c>
      <c r="J34" s="3" t="str">
        <f>VLOOKUP(1,E35:G38,2,FALSE)</f>
        <v>VEGAN</v>
      </c>
      <c r="K34" s="3">
        <f t="shared" si="3"/>
        <v>6</v>
      </c>
    </row>
    <row r="35" spans="1:15" x14ac:dyDescent="0.3">
      <c r="A35">
        <v>34</v>
      </c>
      <c r="B35" t="s">
        <v>86</v>
      </c>
      <c r="E35" s="22">
        <v>1</v>
      </c>
      <c r="F35" s="22" t="str">
        <f>IF(A7=6,B7)</f>
        <v>VEGAN</v>
      </c>
      <c r="G35" s="22">
        <f>INDEX(A$2:B$33,MATCH(F35,B$2:B$33,0),1)</f>
        <v>6</v>
      </c>
      <c r="I35" s="3">
        <v>3</v>
      </c>
      <c r="J35" s="3" t="str">
        <f>VLOOKUP(2,E35:G38,2,FALSE)</f>
        <v>FILOU</v>
      </c>
      <c r="K35" s="3">
        <f t="shared" si="3"/>
        <v>27</v>
      </c>
    </row>
    <row r="36" spans="1:15" x14ac:dyDescent="0.3">
      <c r="A36">
        <v>35</v>
      </c>
      <c r="B36" t="s">
        <v>87</v>
      </c>
      <c r="E36" s="22">
        <v>3</v>
      </c>
      <c r="F36" s="22" t="str">
        <f>IF(A12=11,B12)</f>
        <v>CHEVAL</v>
      </c>
      <c r="G36" s="22">
        <f>INDEX(A$2:B$33,MATCH(F36,B$2:B$33,0),1)</f>
        <v>11</v>
      </c>
    </row>
    <row r="37" spans="1:15" x14ac:dyDescent="0.3">
      <c r="A37">
        <v>36</v>
      </c>
      <c r="B37" t="s">
        <v>88</v>
      </c>
      <c r="E37" s="22">
        <v>4</v>
      </c>
      <c r="F37" s="22" t="str">
        <f>IF(A23=22,B23)</f>
        <v>CAROTTE</v>
      </c>
      <c r="G37" s="22">
        <f>INDEX(A$2:B$33,MATCH(F37,B$2:B$33,0),1)</f>
        <v>22</v>
      </c>
    </row>
    <row r="38" spans="1:15" x14ac:dyDescent="0.3">
      <c r="A38">
        <v>37</v>
      </c>
      <c r="B38" t="s">
        <v>89</v>
      </c>
      <c r="E38" s="22">
        <v>2</v>
      </c>
      <c r="F38" s="22" t="str">
        <f>IF(A28=27,B28)</f>
        <v>FILOU</v>
      </c>
      <c r="G38" s="22">
        <f>INDEX(A$2:B$33,MATCH(F38,B$2:B$33,0),1)</f>
        <v>27</v>
      </c>
      <c r="M38" s="4" t="s">
        <v>74</v>
      </c>
      <c r="N38" s="4" t="s">
        <v>75</v>
      </c>
      <c r="O38" s="4" t="s">
        <v>81</v>
      </c>
    </row>
    <row r="39" spans="1:15" x14ac:dyDescent="0.3">
      <c r="A39">
        <v>38</v>
      </c>
      <c r="B39" t="s">
        <v>90</v>
      </c>
      <c r="M39" s="20">
        <v>1</v>
      </c>
      <c r="N39" s="20" t="str">
        <f>VLOOKUP(1,I32:K35,2,FALSE)</f>
        <v>BOUC</v>
      </c>
      <c r="O39" s="20">
        <f>INDEX($A$2:$A$33,MATCH(N39,$B$2:$B$33,0),1)</f>
        <v>14</v>
      </c>
    </row>
    <row r="40" spans="1:15" x14ac:dyDescent="0.3">
      <c r="E40" s="21" t="s">
        <v>98</v>
      </c>
      <c r="F40" s="4" t="s">
        <v>99</v>
      </c>
      <c r="G40" s="4" t="s">
        <v>83</v>
      </c>
      <c r="M40" s="20">
        <v>3</v>
      </c>
      <c r="N40" s="20" t="str">
        <f>VLOOKUP(2,I32:J35,2,FALSE)</f>
        <v>VEGAN</v>
      </c>
      <c r="O40" s="20">
        <f t="shared" ref="O40:O42" si="4">INDEX($A$2:$A$33,MATCH(N40,$B$2:$B$33,0),1)</f>
        <v>6</v>
      </c>
    </row>
    <row r="41" spans="1:15" x14ac:dyDescent="0.3">
      <c r="E41" s="22">
        <v>4</v>
      </c>
      <c r="F41" s="22" t="str">
        <f>IF(A8=7,B8)</f>
        <v>COQ</v>
      </c>
      <c r="G41" s="22">
        <f>INDEX(A$2:B$33,MATCH(F41,B$2:B$33,0),1)</f>
        <v>7</v>
      </c>
      <c r="M41" s="20">
        <v>4</v>
      </c>
      <c r="N41" s="20" t="str">
        <f>VLOOKUP(1,I44:K47,2,FALSE)</f>
        <v>ANE</v>
      </c>
      <c r="O41" s="20">
        <f t="shared" si="4"/>
        <v>10</v>
      </c>
    </row>
    <row r="42" spans="1:15" x14ac:dyDescent="0.3">
      <c r="E42" s="22">
        <v>1</v>
      </c>
      <c r="F42" s="22" t="str">
        <f>IF(A11=10,B11)</f>
        <v>ANE</v>
      </c>
      <c r="G42" s="22">
        <f>INDEX(A$2:B$33,MATCH(F42,B$2:B$33,0),1)</f>
        <v>10</v>
      </c>
      <c r="M42" s="20">
        <v>2</v>
      </c>
      <c r="N42" s="20" t="str">
        <f>VLOOKUP(2,I45:K49,2,FALSE)</f>
        <v>AIL</v>
      </c>
      <c r="O42" s="20">
        <f t="shared" si="4"/>
        <v>26</v>
      </c>
    </row>
    <row r="43" spans="1:15" x14ac:dyDescent="0.3">
      <c r="E43" s="22">
        <v>3</v>
      </c>
      <c r="F43" s="22" t="str">
        <f>IF(A24=23,B24)</f>
        <v>POIREAU</v>
      </c>
      <c r="G43" s="22">
        <f>INDEX(A$2:B$33,MATCH(F43,B$2:B$33,0),1)</f>
        <v>23</v>
      </c>
      <c r="I43" s="4" t="s">
        <v>78</v>
      </c>
      <c r="J43" s="4" t="s">
        <v>69</v>
      </c>
      <c r="K43" s="4" t="s">
        <v>81</v>
      </c>
    </row>
    <row r="44" spans="1:15" x14ac:dyDescent="0.3">
      <c r="E44" s="22">
        <v>2</v>
      </c>
      <c r="F44" s="22" t="str">
        <f>IF(A27=26,B27)</f>
        <v>AIL</v>
      </c>
      <c r="G44" s="22">
        <f>INDEX(A$2:B$33,MATCH(F44,B$2:B$33,0),1)</f>
        <v>26</v>
      </c>
      <c r="I44" s="3">
        <v>1</v>
      </c>
      <c r="J44" s="3" t="str">
        <f>VLOOKUP(1,E41:G44,2,FALSE)</f>
        <v>ANE</v>
      </c>
      <c r="K44" s="3">
        <f>INDEX($A$2:$B$33,MATCH(J44,$B$2:$B$33,0),1)</f>
        <v>10</v>
      </c>
    </row>
    <row r="45" spans="1:15" x14ac:dyDescent="0.3">
      <c r="I45" s="3">
        <v>2</v>
      </c>
      <c r="J45" s="3" t="str">
        <f>VLOOKUP(2,E41:G44,2,FALSE)</f>
        <v>AIL</v>
      </c>
      <c r="K45" s="3">
        <f t="shared" ref="K45:K47" si="5">INDEX($A$2:$B$33,MATCH(J45,$B$2:$B$33,0),1)</f>
        <v>26</v>
      </c>
    </row>
    <row r="46" spans="1:15" x14ac:dyDescent="0.3">
      <c r="E46" s="21" t="s">
        <v>100</v>
      </c>
      <c r="F46" s="4" t="s">
        <v>101</v>
      </c>
      <c r="G46" s="4" t="s">
        <v>83</v>
      </c>
      <c r="I46" s="3">
        <v>3</v>
      </c>
      <c r="J46" s="3" t="str">
        <f>VLOOKUP(1,E47:G50,2,FALSE)</f>
        <v>COOL</v>
      </c>
      <c r="K46" s="3">
        <f t="shared" si="5"/>
        <v>2</v>
      </c>
    </row>
    <row r="47" spans="1:15" x14ac:dyDescent="0.3">
      <c r="E47" s="22">
        <v>1</v>
      </c>
      <c r="F47" s="32" t="str">
        <f>IF(A3=2,B3)</f>
        <v>COOL</v>
      </c>
      <c r="G47" s="22">
        <f>INDEX(A$2:B$33,MATCH(F47,B$2:B$33,0),1)</f>
        <v>2</v>
      </c>
      <c r="I47" s="3">
        <v>4</v>
      </c>
      <c r="J47" s="3" t="str">
        <f>VLOOKUP(2,E47:G50,2,FALSE)</f>
        <v>ROUGE</v>
      </c>
      <c r="K47" s="3">
        <f t="shared" si="5"/>
        <v>18</v>
      </c>
    </row>
    <row r="48" spans="1:15" x14ac:dyDescent="0.3">
      <c r="E48" s="22">
        <v>3</v>
      </c>
      <c r="F48" s="32" t="str">
        <f>IF(A16=15,B16)</f>
        <v>VACHE</v>
      </c>
      <c r="G48" s="22">
        <f>INDEX(A$2:B$33,MATCH(F48,B$2:B$33,0),1)</f>
        <v>15</v>
      </c>
    </row>
    <row r="49" spans="5:7" x14ac:dyDescent="0.3">
      <c r="E49" s="22">
        <v>2</v>
      </c>
      <c r="F49" s="32" t="str">
        <f>IF(A19=18,B19)</f>
        <v>ROUGE</v>
      </c>
      <c r="G49" s="22">
        <f>INDEX(A$2:B$33,MATCH(F49,B$2:B$33,0),1)</f>
        <v>18</v>
      </c>
    </row>
    <row r="50" spans="5:7" x14ac:dyDescent="0.3">
      <c r="E50" s="22">
        <v>4</v>
      </c>
      <c r="F50" s="32" t="str">
        <f>IF(A33=32,B33)</f>
        <v>ORANGE</v>
      </c>
      <c r="G50" s="22">
        <f>INDEX(A$2:B$33,MATCH(F50,B$2:B$33,0),1)</f>
        <v>32</v>
      </c>
    </row>
  </sheetData>
  <mergeCells count="4">
    <mergeCell ref="E1:G1"/>
    <mergeCell ref="I1:K1"/>
    <mergeCell ref="M1:O1"/>
    <mergeCell ref="Q1:S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workbookViewId="0">
      <selection activeCell="H16" sqref="H16"/>
    </sheetView>
  </sheetViews>
  <sheetFormatPr baseColWidth="10" defaultRowHeight="14.4" x14ac:dyDescent="0.3"/>
  <cols>
    <col min="1" max="1" width="5.33203125" bestFit="1" customWidth="1"/>
    <col min="5" max="5" width="15" customWidth="1"/>
    <col min="9" max="9" width="7.5546875" bestFit="1" customWidth="1"/>
    <col min="10" max="10" width="13.6640625" customWidth="1"/>
  </cols>
  <sheetData>
    <row r="1" spans="1:10" x14ac:dyDescent="0.3">
      <c r="A1" s="4" t="s">
        <v>82</v>
      </c>
      <c r="B1" s="4" t="s">
        <v>50</v>
      </c>
      <c r="C1" s="4" t="s">
        <v>80</v>
      </c>
      <c r="D1" s="41" t="s">
        <v>70</v>
      </c>
      <c r="E1" s="41"/>
      <c r="F1" s="41"/>
      <c r="H1" s="42" t="s">
        <v>77</v>
      </c>
      <c r="I1" s="42"/>
      <c r="J1" s="42"/>
    </row>
    <row r="2" spans="1:10" x14ac:dyDescent="0.3">
      <c r="A2" s="4">
        <v>1</v>
      </c>
      <c r="B2" s="4" t="s">
        <v>72</v>
      </c>
      <c r="C2" s="4" t="s">
        <v>0</v>
      </c>
    </row>
    <row r="3" spans="1:10" x14ac:dyDescent="0.3">
      <c r="A3" s="4">
        <v>2</v>
      </c>
      <c r="B3" s="4" t="s">
        <v>65</v>
      </c>
      <c r="C3" s="4" t="s">
        <v>1</v>
      </c>
    </row>
    <row r="4" spans="1:10" x14ac:dyDescent="0.3">
      <c r="A4" s="4">
        <v>3</v>
      </c>
      <c r="B4" s="4" t="s">
        <v>26</v>
      </c>
      <c r="C4" s="4" t="s">
        <v>2</v>
      </c>
      <c r="D4" s="4" t="s">
        <v>74</v>
      </c>
      <c r="E4" s="4" t="s">
        <v>114</v>
      </c>
      <c r="F4" s="4" t="s">
        <v>113</v>
      </c>
    </row>
    <row r="5" spans="1:10" x14ac:dyDescent="0.3">
      <c r="A5" s="4">
        <v>4</v>
      </c>
      <c r="B5" s="4" t="s">
        <v>27</v>
      </c>
      <c r="C5" s="4" t="s">
        <v>3</v>
      </c>
      <c r="D5" s="33">
        <v>3</v>
      </c>
      <c r="E5" s="33" t="str">
        <f>IF(A2=1,B2,FALSE)</f>
        <v>COLAS</v>
      </c>
      <c r="F5" s="33">
        <f>INDEX(A$2:B$33,MATCH(E5,B$2:B$33,0),1)</f>
        <v>1</v>
      </c>
    </row>
    <row r="6" spans="1:10" x14ac:dyDescent="0.3">
      <c r="A6" s="4">
        <v>5</v>
      </c>
      <c r="B6" s="4" t="s">
        <v>28</v>
      </c>
      <c r="C6" s="4" t="s">
        <v>4</v>
      </c>
      <c r="D6" s="33">
        <v>2</v>
      </c>
      <c r="E6" s="33" t="str">
        <f>IF(A5=4,B5,FALSE)</f>
        <v>DOUC</v>
      </c>
      <c r="F6" s="33">
        <f>INDEX(A$2:B$33,MATCH(E6,B$2:B$33,0),1)</f>
        <v>4</v>
      </c>
    </row>
    <row r="7" spans="1:10" x14ac:dyDescent="0.3">
      <c r="A7" s="4">
        <v>6</v>
      </c>
      <c r="B7" s="4" t="s">
        <v>29</v>
      </c>
      <c r="C7" s="4" t="s">
        <v>5</v>
      </c>
      <c r="D7" s="33">
        <v>1</v>
      </c>
      <c r="E7" s="33" t="str">
        <f>IF(A6=5,B6,FALSE)</f>
        <v>CALOR</v>
      </c>
      <c r="F7" s="33">
        <f>INDEX(A$2:B$33,MATCH(E7,B$2:B$33,0),1)</f>
        <v>5</v>
      </c>
      <c r="H7" s="4" t="s">
        <v>77</v>
      </c>
      <c r="I7" s="4" t="s">
        <v>83</v>
      </c>
      <c r="J7" s="4" t="s">
        <v>76</v>
      </c>
    </row>
    <row r="8" spans="1:10" x14ac:dyDescent="0.3">
      <c r="A8" s="4">
        <v>7</v>
      </c>
      <c r="B8" s="4" t="s">
        <v>30</v>
      </c>
      <c r="C8" s="4" t="s">
        <v>6</v>
      </c>
      <c r="D8" s="33">
        <v>4</v>
      </c>
      <c r="E8" s="33" t="str">
        <f>IF(A9=8,B9,FALSE)</f>
        <v>COQ</v>
      </c>
      <c r="F8" s="33">
        <f>INDEX(A$2:B$33,MATCH(E8,B$2:B$33,0),1)</f>
        <v>8</v>
      </c>
      <c r="H8" s="34" t="str">
        <f>VLOOKUP(1,D4:E7,2,FALSE)</f>
        <v>CALOR</v>
      </c>
      <c r="I8" s="34">
        <f>INDEX(A$2:A$33,MATCH(H8,B$2:B$33,0),1)</f>
        <v>5</v>
      </c>
      <c r="J8" s="34"/>
    </row>
    <row r="9" spans="1:10" x14ac:dyDescent="0.3">
      <c r="A9" s="4">
        <v>8</v>
      </c>
      <c r="B9" s="4" t="s">
        <v>31</v>
      </c>
      <c r="C9" s="4" t="s">
        <v>7</v>
      </c>
      <c r="H9" s="34" t="str">
        <f>VLOOKUP(2,D4:E7,2,FALSE)</f>
        <v>DOUC</v>
      </c>
      <c r="I9" s="34">
        <f>INDEX(A$2:A$33,MATCH(H9,B$2:B$33,0),1)</f>
        <v>4</v>
      </c>
      <c r="J9" s="34"/>
    </row>
    <row r="10" spans="1:10" x14ac:dyDescent="0.3">
      <c r="A10" s="4">
        <v>9</v>
      </c>
      <c r="B10" s="4" t="s">
        <v>32</v>
      </c>
      <c r="C10" s="4" t="s">
        <v>8</v>
      </c>
      <c r="D10" s="4" t="s">
        <v>74</v>
      </c>
      <c r="E10" s="4" t="s">
        <v>75</v>
      </c>
      <c r="F10" s="4" t="s">
        <v>113</v>
      </c>
      <c r="H10" s="34" t="str">
        <f>VLOOKUP(1,D10:E13,2,FALSE)</f>
        <v>DELOR</v>
      </c>
      <c r="I10" s="34">
        <f t="shared" ref="I10:I11" si="0">INDEX(A$2:A$33,MATCH(H10,B$2:B$33,0),1)</f>
        <v>3</v>
      </c>
      <c r="J10" s="34"/>
    </row>
    <row r="11" spans="1:10" x14ac:dyDescent="0.3">
      <c r="A11" s="4">
        <v>10</v>
      </c>
      <c r="B11" s="4" t="s">
        <v>33</v>
      </c>
      <c r="C11" s="4" t="s">
        <v>9</v>
      </c>
      <c r="D11" s="33">
        <v>2</v>
      </c>
      <c r="E11" s="33" t="str">
        <f>IF(A3=2,B3,FALSE)</f>
        <v>COOL</v>
      </c>
      <c r="F11" s="33">
        <f>INDEX(A$2:B$33,MATCH(E11,B$2:B$33,0),1)</f>
        <v>2</v>
      </c>
      <c r="H11" s="34" t="str">
        <f>VLOOKUP(2,D10:E13,2,FALSE)</f>
        <v>COOL</v>
      </c>
      <c r="I11" s="34">
        <f t="shared" si="0"/>
        <v>2</v>
      </c>
      <c r="J11" s="34"/>
    </row>
    <row r="12" spans="1:10" x14ac:dyDescent="0.3">
      <c r="A12" s="4">
        <v>11</v>
      </c>
      <c r="B12" s="4" t="s">
        <v>34</v>
      </c>
      <c r="C12" s="4" t="s">
        <v>10</v>
      </c>
      <c r="D12" s="33">
        <v>1</v>
      </c>
      <c r="E12" s="33" t="str">
        <f>IF(A4=3,B4,FALSE)</f>
        <v>DELOR</v>
      </c>
      <c r="F12" s="33">
        <f>INDEX(A$2:B$33,MATCH(E12,B$2:B$33,0),1)</f>
        <v>3</v>
      </c>
    </row>
    <row r="13" spans="1:10" x14ac:dyDescent="0.3">
      <c r="A13" s="4">
        <v>12</v>
      </c>
      <c r="B13" s="4" t="s">
        <v>35</v>
      </c>
      <c r="C13" s="4" t="s">
        <v>11</v>
      </c>
      <c r="D13" s="33">
        <v>3</v>
      </c>
      <c r="E13" s="33" t="str">
        <f>IF(A7=6,B7,FALSE)</f>
        <v>VEGAN</v>
      </c>
      <c r="F13" s="33">
        <f>INDEX(A$2:B$33,MATCH(E13,B$2:B$33,0),1)</f>
        <v>6</v>
      </c>
    </row>
    <row r="14" spans="1:10" x14ac:dyDescent="0.3">
      <c r="A14" s="4">
        <v>13</v>
      </c>
      <c r="B14" s="4" t="s">
        <v>36</v>
      </c>
      <c r="C14" s="4" t="s">
        <v>12</v>
      </c>
      <c r="D14" s="33">
        <v>4</v>
      </c>
      <c r="E14" s="33" t="str">
        <f>IF(A8=7,B8,FALSE)</f>
        <v>POUL</v>
      </c>
      <c r="F14" s="33">
        <f>INDEX(A$2:B$33,MATCH(E14,B$2:B$33,0),1)</f>
        <v>7</v>
      </c>
    </row>
    <row r="15" spans="1:10" x14ac:dyDescent="0.3">
      <c r="A15" s="4">
        <v>14</v>
      </c>
      <c r="B15" s="4" t="s">
        <v>37</v>
      </c>
      <c r="C15" s="4" t="s">
        <v>13</v>
      </c>
    </row>
    <row r="16" spans="1:10" x14ac:dyDescent="0.3">
      <c r="A16" s="4">
        <v>15</v>
      </c>
      <c r="B16" s="4" t="s">
        <v>38</v>
      </c>
      <c r="C16" s="4" t="s">
        <v>14</v>
      </c>
    </row>
    <row r="17" spans="1:3" x14ac:dyDescent="0.3">
      <c r="A17" s="4">
        <v>16</v>
      </c>
      <c r="B17" s="4" t="s">
        <v>39</v>
      </c>
      <c r="C17" s="4" t="s">
        <v>15</v>
      </c>
    </row>
    <row r="18" spans="1:3" x14ac:dyDescent="0.3">
      <c r="A18" s="4">
        <v>17</v>
      </c>
      <c r="B18" s="4" t="s">
        <v>40</v>
      </c>
      <c r="C18" s="4" t="s">
        <v>16</v>
      </c>
    </row>
    <row r="19" spans="1:3" x14ac:dyDescent="0.3">
      <c r="A19" s="4">
        <v>18</v>
      </c>
      <c r="B19" s="4" t="s">
        <v>41</v>
      </c>
      <c r="C19" s="4" t="s">
        <v>17</v>
      </c>
    </row>
    <row r="20" spans="1:3" x14ac:dyDescent="0.3">
      <c r="A20" s="4">
        <v>19</v>
      </c>
      <c r="B20" s="4" t="s">
        <v>42</v>
      </c>
      <c r="C20" s="4" t="s">
        <v>18</v>
      </c>
    </row>
    <row r="21" spans="1:3" x14ac:dyDescent="0.3">
      <c r="A21" s="4">
        <v>20</v>
      </c>
      <c r="B21" s="4" t="s">
        <v>43</v>
      </c>
      <c r="C21" s="4" t="s">
        <v>19</v>
      </c>
    </row>
    <row r="22" spans="1:3" x14ac:dyDescent="0.3">
      <c r="A22" s="4">
        <v>21</v>
      </c>
      <c r="B22" s="4" t="s">
        <v>44</v>
      </c>
      <c r="C22" s="4" t="s">
        <v>20</v>
      </c>
    </row>
    <row r="23" spans="1:3" x14ac:dyDescent="0.3">
      <c r="A23" s="4">
        <v>22</v>
      </c>
      <c r="B23" s="4" t="s">
        <v>45</v>
      </c>
      <c r="C23" s="4" t="s">
        <v>21</v>
      </c>
    </row>
    <row r="24" spans="1:3" x14ac:dyDescent="0.3">
      <c r="A24" s="4">
        <v>23</v>
      </c>
      <c r="B24" s="4" t="s">
        <v>46</v>
      </c>
      <c r="C24" s="4" t="s">
        <v>22</v>
      </c>
    </row>
    <row r="25" spans="1:3" x14ac:dyDescent="0.3">
      <c r="A25" s="4">
        <v>24</v>
      </c>
      <c r="B25" s="4" t="s">
        <v>47</v>
      </c>
      <c r="C25" s="4" t="s">
        <v>23</v>
      </c>
    </row>
    <row r="26" spans="1:3" x14ac:dyDescent="0.3">
      <c r="A26" s="4">
        <v>25</v>
      </c>
      <c r="B26" s="4" t="s">
        <v>48</v>
      </c>
      <c r="C26" s="4" t="s">
        <v>24</v>
      </c>
    </row>
    <row r="27" spans="1:3" x14ac:dyDescent="0.3">
      <c r="A27" s="4">
        <v>26</v>
      </c>
      <c r="B27" s="4" t="s">
        <v>49</v>
      </c>
      <c r="C27" s="4" t="s">
        <v>25</v>
      </c>
    </row>
    <row r="28" spans="1:3" x14ac:dyDescent="0.3">
      <c r="A28" s="4">
        <v>27</v>
      </c>
      <c r="B28" s="4" t="s">
        <v>52</v>
      </c>
      <c r="C28" s="4" t="s">
        <v>53</v>
      </c>
    </row>
    <row r="29" spans="1:3" x14ac:dyDescent="0.3">
      <c r="A29" s="4">
        <v>28</v>
      </c>
      <c r="B29" s="4" t="s">
        <v>59</v>
      </c>
      <c r="C29" s="4" t="s">
        <v>54</v>
      </c>
    </row>
    <row r="30" spans="1:3" x14ac:dyDescent="0.3">
      <c r="A30" s="4">
        <v>29</v>
      </c>
      <c r="B30" s="4" t="s">
        <v>60</v>
      </c>
      <c r="C30" s="4" t="s">
        <v>55</v>
      </c>
    </row>
    <row r="31" spans="1:3" x14ac:dyDescent="0.3">
      <c r="A31" s="4">
        <v>30</v>
      </c>
      <c r="B31" s="4" t="s">
        <v>61</v>
      </c>
      <c r="C31" s="4" t="s">
        <v>56</v>
      </c>
    </row>
    <row r="32" spans="1:3" x14ac:dyDescent="0.3">
      <c r="A32" s="4">
        <v>31</v>
      </c>
      <c r="B32" s="4" t="s">
        <v>62</v>
      </c>
      <c r="C32" s="4" t="s">
        <v>57</v>
      </c>
    </row>
    <row r="33" spans="1:3" x14ac:dyDescent="0.3">
      <c r="A33" s="4">
        <v>32</v>
      </c>
      <c r="B33" s="4" t="s">
        <v>63</v>
      </c>
      <c r="C33" s="4" t="s">
        <v>58</v>
      </c>
    </row>
    <row r="34" spans="1:3" x14ac:dyDescent="0.3">
      <c r="A34" s="4">
        <v>33</v>
      </c>
      <c r="B34" s="4"/>
      <c r="C34" s="4"/>
    </row>
  </sheetData>
  <mergeCells count="2">
    <mergeCell ref="D1:F1"/>
    <mergeCell ref="H1:J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tabSelected="1" workbookViewId="0">
      <selection activeCell="L1" sqref="L1:N1"/>
    </sheetView>
  </sheetViews>
  <sheetFormatPr baseColWidth="10" defaultRowHeight="14.4" x14ac:dyDescent="0.3"/>
  <cols>
    <col min="14" max="14" width="13.88671875" bestFit="1" customWidth="1"/>
  </cols>
  <sheetData>
    <row r="1" spans="1:14" x14ac:dyDescent="0.3">
      <c r="A1" s="31" t="s">
        <v>111</v>
      </c>
      <c r="B1" s="31" t="s">
        <v>50</v>
      </c>
      <c r="C1" s="31" t="s">
        <v>112</v>
      </c>
      <c r="D1" s="41" t="s">
        <v>64</v>
      </c>
      <c r="E1" s="41"/>
      <c r="F1" s="41"/>
      <c r="H1" s="35" t="s">
        <v>70</v>
      </c>
      <c r="I1" s="35"/>
      <c r="J1" s="35"/>
      <c r="L1" s="44" t="s">
        <v>77</v>
      </c>
      <c r="M1" s="44"/>
      <c r="N1" s="44"/>
    </row>
    <row r="2" spans="1:14" x14ac:dyDescent="0.3">
      <c r="A2" s="12">
        <v>1</v>
      </c>
      <c r="B2" s="12" t="s">
        <v>115</v>
      </c>
      <c r="C2" s="12"/>
    </row>
    <row r="3" spans="1:14" x14ac:dyDescent="0.3">
      <c r="A3" s="12"/>
      <c r="B3" s="12"/>
      <c r="C3" s="12"/>
    </row>
    <row r="4" spans="1:14" x14ac:dyDescent="0.3">
      <c r="A4" s="12"/>
      <c r="B4" s="12"/>
      <c r="C4" s="12"/>
      <c r="D4" s="4" t="s">
        <v>78</v>
      </c>
      <c r="E4" s="4" t="s">
        <v>66</v>
      </c>
      <c r="F4" s="4" t="s">
        <v>81</v>
      </c>
    </row>
    <row r="5" spans="1:14" x14ac:dyDescent="0.3">
      <c r="A5" s="12"/>
      <c r="B5" s="12"/>
      <c r="C5" s="12"/>
      <c r="D5" s="33"/>
      <c r="E5" s="33" t="str">
        <f>IF(A2=1,B2,FALSE)</f>
        <v>BOUBOULE</v>
      </c>
      <c r="F5" s="33">
        <f>INDEX(A$2:B$33,MATCH(E5,B$2:B$33,0),1)</f>
        <v>1</v>
      </c>
    </row>
    <row r="6" spans="1:14" x14ac:dyDescent="0.3">
      <c r="A6" s="12"/>
      <c r="B6" s="12"/>
      <c r="C6" s="12"/>
      <c r="D6" s="33"/>
      <c r="E6" s="33" t="b">
        <f>IF(A9=8,B9)</f>
        <v>0</v>
      </c>
      <c r="F6" s="33" t="e">
        <f>INDEX(A$2:B$33,MATCH(E6,B$2:B$33,0),1)</f>
        <v>#N/A</v>
      </c>
    </row>
    <row r="7" spans="1:14" x14ac:dyDescent="0.3">
      <c r="A7" s="31"/>
      <c r="B7" s="31"/>
      <c r="C7" s="12"/>
      <c r="D7" s="33"/>
      <c r="E7" s="33" t="b">
        <f>IF(A13=12,B13)</f>
        <v>0</v>
      </c>
      <c r="F7" s="33" t="e">
        <f>INDEX(A$2:B$33,MATCH(E7,B$2:B$33,0),1)</f>
        <v>#N/A</v>
      </c>
      <c r="H7" s="4" t="s">
        <v>74</v>
      </c>
      <c r="I7" s="4" t="s">
        <v>71</v>
      </c>
      <c r="J7" s="4" t="s">
        <v>81</v>
      </c>
    </row>
    <row r="8" spans="1:14" x14ac:dyDescent="0.3">
      <c r="A8" s="12"/>
      <c r="B8" s="12"/>
      <c r="C8" s="12"/>
      <c r="D8" s="33"/>
      <c r="E8" s="33" t="b">
        <f>IF(A17=16,B17)</f>
        <v>0</v>
      </c>
      <c r="F8" s="33" t="e">
        <f>INDEX(A$2:B$33,MATCH(E8,B$2:B$33,0),1)</f>
        <v>#N/A</v>
      </c>
      <c r="H8" s="20"/>
      <c r="I8" s="20" t="e">
        <f>VLOOKUP(1,D5:E8,2,FALSE)</f>
        <v>#N/A</v>
      </c>
      <c r="J8" s="20" t="e">
        <f>INDEX(A$2:B$33,MATCH(I8,B$2:B$33,0),1)</f>
        <v>#N/A</v>
      </c>
    </row>
    <row r="9" spans="1:14" x14ac:dyDescent="0.3">
      <c r="A9" s="12"/>
      <c r="B9" s="12"/>
      <c r="C9" s="12"/>
      <c r="H9" s="20"/>
      <c r="I9" s="20" t="e">
        <f>VLOOKUP(2,D5:E8,2,FALSE)</f>
        <v>#N/A</v>
      </c>
      <c r="J9" s="20" t="e">
        <f>INDEX(A$2:B$33,MATCH(I9,B$2:B$33,0),1)</f>
        <v>#N/A</v>
      </c>
    </row>
    <row r="10" spans="1:14" x14ac:dyDescent="0.3">
      <c r="A10" s="12"/>
      <c r="B10" s="12"/>
      <c r="C10" s="12"/>
      <c r="D10" s="4" t="s">
        <v>78</v>
      </c>
      <c r="E10" s="4" t="s">
        <v>67</v>
      </c>
      <c r="F10" s="4" t="s">
        <v>79</v>
      </c>
      <c r="H10" s="20"/>
      <c r="I10" s="20" t="e">
        <f>VLOOKUP(1,D11:E14,2,FALSE)</f>
        <v>#N/A</v>
      </c>
      <c r="J10" s="20" t="e">
        <f>INDEX(A$2:B$33,MATCH(I10,B$2:B$33,0),1)</f>
        <v>#N/A</v>
      </c>
    </row>
    <row r="11" spans="1:14" x14ac:dyDescent="0.3">
      <c r="A11" s="12"/>
      <c r="B11" s="12"/>
      <c r="C11" s="12"/>
      <c r="D11" s="33"/>
      <c r="E11" s="33" t="b">
        <f>IF(A5=4,B5)</f>
        <v>0</v>
      </c>
      <c r="F11" s="33" t="e">
        <f>INDEX(A$2:B$33,MATCH(E11,B$2:B$33,0),1)</f>
        <v>#N/A</v>
      </c>
      <c r="H11" s="20"/>
      <c r="I11" s="20" t="e">
        <f>VLOOKUP(2,D11:E14,2,FALSE)</f>
        <v>#N/A</v>
      </c>
      <c r="J11" s="20" t="e">
        <f>INDEX(A$2:B$33,MATCH(I11,B$2:B$33,0),1)</f>
        <v>#N/A</v>
      </c>
    </row>
    <row r="12" spans="1:14" x14ac:dyDescent="0.3">
      <c r="A12" s="12"/>
      <c r="B12" s="12"/>
      <c r="C12" s="12"/>
      <c r="D12" s="33"/>
      <c r="E12" s="33" t="b">
        <f>IF(A6=5,B6)</f>
        <v>0</v>
      </c>
      <c r="F12" s="33" t="e">
        <f>INDEX(A$2:B$33,MATCH(E12,B$2:B$33,0),1)</f>
        <v>#N/A</v>
      </c>
    </row>
    <row r="13" spans="1:14" x14ac:dyDescent="0.3">
      <c r="A13" s="12"/>
      <c r="B13" s="12"/>
      <c r="C13" s="12"/>
      <c r="D13" s="33"/>
      <c r="E13" s="33" t="b">
        <f>IF(A10=9,B10)</f>
        <v>0</v>
      </c>
      <c r="F13" s="33" t="e">
        <f>INDEX(A$2:B$33,MATCH(E13,B$2:B$33,0),1)</f>
        <v>#N/A</v>
      </c>
      <c r="L13" s="4" t="s">
        <v>77</v>
      </c>
      <c r="M13" s="4" t="s">
        <v>83</v>
      </c>
      <c r="N13" s="4" t="s">
        <v>76</v>
      </c>
    </row>
    <row r="14" spans="1:14" x14ac:dyDescent="0.3">
      <c r="A14" s="12"/>
      <c r="B14" s="12"/>
      <c r="D14" s="33"/>
      <c r="E14" s="33" t="b">
        <f>IF(A14=13,B14)</f>
        <v>0</v>
      </c>
      <c r="F14" s="33" t="e">
        <f>INDEX(A$2:B$33,MATCH(E14,B$2:B$33,0),1)</f>
        <v>#N/A</v>
      </c>
      <c r="L14" s="43" t="e">
        <f>VLOOKUP(1,H8:I11,2,FALSE)</f>
        <v>#N/A</v>
      </c>
      <c r="M14" s="43" t="e">
        <f>INDEX(A$2:B$33,MATCH(L14,B$2:B$33,0),1)</f>
        <v>#N/A</v>
      </c>
      <c r="N14" s="43"/>
    </row>
    <row r="15" spans="1:14" x14ac:dyDescent="0.3">
      <c r="A15" s="12"/>
      <c r="B15" s="12"/>
      <c r="C15" s="12"/>
      <c r="L15" s="43" t="e">
        <f>VLOOKUP(2,H8:I11,2,FALSE)</f>
        <v>#N/A</v>
      </c>
      <c r="M15" s="43" t="e">
        <f>INDEX(A$2:B$33,MATCH(L15,B$2:B$33,0),1)</f>
        <v>#N/A</v>
      </c>
      <c r="N15" s="43"/>
    </row>
    <row r="16" spans="1:14" x14ac:dyDescent="0.3">
      <c r="A16" s="12"/>
      <c r="B16" s="12"/>
      <c r="C16" s="12"/>
      <c r="D16" s="4" t="s">
        <v>78</v>
      </c>
      <c r="E16" s="4" t="s">
        <v>68</v>
      </c>
      <c r="F16" s="4" t="s">
        <v>79</v>
      </c>
      <c r="L16" s="43" t="e">
        <f>VLOOKUP(1,H20:I23,2,FALSE)</f>
        <v>#N/A</v>
      </c>
      <c r="M16" s="43" t="e">
        <f>INDEX(A$2:B$33,MATCH(L16,B$2:B$33,0),1)</f>
        <v>#N/A</v>
      </c>
      <c r="N16" s="43"/>
    </row>
    <row r="17" spans="1:14" x14ac:dyDescent="0.3">
      <c r="A17" s="12"/>
      <c r="B17" s="12"/>
      <c r="C17" s="12"/>
      <c r="D17" s="33"/>
      <c r="E17" s="33" t="b">
        <f>IF(A4=3,B4)</f>
        <v>0</v>
      </c>
      <c r="F17" s="33" t="e">
        <f>INDEX(A$2:B$33,MATCH(E17,B$2:B$33,0),1)</f>
        <v>#N/A</v>
      </c>
      <c r="L17" s="43" t="e">
        <f>VLOOKUP(2,H20:I23,2,FALSE)</f>
        <v>#N/A</v>
      </c>
      <c r="M17" s="43" t="e">
        <f>INDEX(A$2:B$33,MATCH(L17,B$2:B$33,0),1)</f>
        <v>#N/A</v>
      </c>
      <c r="N17" s="43"/>
    </row>
    <row r="18" spans="1:14" x14ac:dyDescent="0.3">
      <c r="A18" s="12"/>
      <c r="B18" s="12"/>
      <c r="C18" s="12"/>
      <c r="D18" s="33"/>
      <c r="E18" s="33" t="b">
        <f>IF(A7=6,B7)</f>
        <v>0</v>
      </c>
      <c r="F18" s="33" t="e">
        <f>INDEX(A$2:B$33,MATCH(E18,B$2:B$33,0),1)</f>
        <v>#N/A</v>
      </c>
    </row>
    <row r="19" spans="1:14" x14ac:dyDescent="0.3">
      <c r="A19" s="31"/>
      <c r="B19" s="31"/>
      <c r="C19" s="12"/>
      <c r="D19" s="33"/>
      <c r="E19" s="33" t="b">
        <f>IF(A11=10,B11)</f>
        <v>0</v>
      </c>
      <c r="F19" s="33" t="e">
        <f>INDEX(A$2:B$33,MATCH(E19,B$2:B$33,0),1)</f>
        <v>#N/A</v>
      </c>
      <c r="H19" s="4" t="s">
        <v>74</v>
      </c>
      <c r="I19" s="4" t="s">
        <v>75</v>
      </c>
      <c r="J19" s="4" t="s">
        <v>81</v>
      </c>
    </row>
    <row r="20" spans="1:14" x14ac:dyDescent="0.3">
      <c r="A20" s="12"/>
      <c r="B20" s="12"/>
      <c r="C20" s="12"/>
      <c r="D20" s="33"/>
      <c r="E20" s="33" t="b">
        <f>IF(A15=14,B15)</f>
        <v>0</v>
      </c>
      <c r="F20" s="33" t="e">
        <f>INDEX(A$2:B$33,MATCH(E20,B$2:B$33,0),1)</f>
        <v>#N/A</v>
      </c>
      <c r="H20" s="20"/>
      <c r="I20" s="20" t="e">
        <f>VLOOKUP(1,D17:E20,2,FALSE)</f>
        <v>#N/A</v>
      </c>
      <c r="J20" s="20" t="e">
        <f>INDEX(A$2:B$33,MATCH(I20,B$2:B$33,0),1)</f>
        <v>#N/A</v>
      </c>
    </row>
    <row r="21" spans="1:14" x14ac:dyDescent="0.3">
      <c r="A21" s="12"/>
      <c r="B21" s="12"/>
      <c r="C21" s="12"/>
      <c r="H21" s="20"/>
      <c r="I21" s="20" t="e">
        <f>VLOOKUP(2,D17:E20,2,FALSE)</f>
        <v>#N/A</v>
      </c>
      <c r="J21" s="20" t="e">
        <f>INDEX(A$2:B$33,MATCH(I21,B$2:B$33,0),1)</f>
        <v>#N/A</v>
      </c>
    </row>
    <row r="22" spans="1:14" x14ac:dyDescent="0.3">
      <c r="A22" s="12"/>
      <c r="B22" s="12"/>
      <c r="C22" s="12"/>
      <c r="D22" s="4" t="s">
        <v>78</v>
      </c>
      <c r="E22" s="4" t="s">
        <v>69</v>
      </c>
      <c r="F22" s="4" t="s">
        <v>79</v>
      </c>
      <c r="H22" s="20"/>
      <c r="I22" s="20" t="e">
        <f>VLOOKUP(1,D23:E26,2,FALSE)</f>
        <v>#N/A</v>
      </c>
      <c r="J22" s="20" t="e">
        <f>INDEX(A$2:B$33,MATCH(I22,B$2:B$33,0),1)</f>
        <v>#N/A</v>
      </c>
    </row>
    <row r="23" spans="1:14" x14ac:dyDescent="0.3">
      <c r="A23" s="12"/>
      <c r="B23" s="12"/>
      <c r="C23" s="12"/>
      <c r="D23" s="33"/>
      <c r="E23" s="33" t="b">
        <f>IF(A3=2,B3)</f>
        <v>0</v>
      </c>
      <c r="F23" s="33" t="e">
        <f>INDEX(A$2:B$33,MATCH(E23,B$2:B$33,0),1)</f>
        <v>#N/A</v>
      </c>
      <c r="H23" s="20"/>
      <c r="I23" s="20" t="e">
        <f>VLOOKUP(2,D23:E26,2,FALSE)</f>
        <v>#N/A</v>
      </c>
      <c r="J23" s="20" t="e">
        <f>INDEX(A$2:B$33,MATCH(I23,B$2:B$33,0),1)</f>
        <v>#N/A</v>
      </c>
    </row>
    <row r="24" spans="1:14" x14ac:dyDescent="0.3">
      <c r="D24" s="33"/>
      <c r="E24" s="33" t="b">
        <f>IF(A8=7,B8)</f>
        <v>0</v>
      </c>
      <c r="F24" s="33" t="e">
        <f>INDEX(A$2:B$33,MATCH(E24,B$2:B$33,0),1)</f>
        <v>#N/A</v>
      </c>
    </row>
    <row r="25" spans="1:14" x14ac:dyDescent="0.3">
      <c r="D25" s="33"/>
      <c r="E25" s="33" t="b">
        <f>IF(A12=11,B12)</f>
        <v>0</v>
      </c>
      <c r="F25" s="33" t="e">
        <f>INDEX(A$2:B$33,MATCH(E25,B$2:B$33,0),1)</f>
        <v>#N/A</v>
      </c>
    </row>
    <row r="26" spans="1:14" x14ac:dyDescent="0.3">
      <c r="D26" s="33"/>
      <c r="E26" s="33" t="b">
        <f>IF(A16=15,B16)</f>
        <v>0</v>
      </c>
      <c r="F26" s="33" t="e">
        <f>INDEX(A$2:B$33,MATCH(E26,B$2:B$33,0),1)</f>
        <v>#N/A</v>
      </c>
    </row>
  </sheetData>
  <mergeCells count="3">
    <mergeCell ref="D1:F1"/>
    <mergeCell ref="H1:J1"/>
    <mergeCell ref="L1:N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1</vt:i4>
      </vt:variant>
    </vt:vector>
  </HeadingPairs>
  <TitlesOfParts>
    <vt:vector size="6" baseType="lpstr">
      <vt:lpstr>Tableau - de 24</vt:lpstr>
      <vt:lpstr>tableau plus de 24</vt:lpstr>
      <vt:lpstr>Tableau Demies direct</vt:lpstr>
      <vt:lpstr>TEST</vt:lpstr>
      <vt:lpstr>Feuil2</vt:lpstr>
      <vt:lpstr>ORANGE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Brigitte Zoungrana</dc:creator>
  <cp:lastModifiedBy>Jean</cp:lastModifiedBy>
  <dcterms:created xsi:type="dcterms:W3CDTF">2021-03-20T12:22:16Z</dcterms:created>
  <dcterms:modified xsi:type="dcterms:W3CDTF">2021-04-15T10:15:45Z</dcterms:modified>
</cp:coreProperties>
</file>